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tabRatio="700" activeTab="0"/>
  </bookViews>
  <sheets>
    <sheet name="12h_DIURNO" sheetId="1" r:id="rId1"/>
    <sheet name="12h_NOTURNO" sheetId="2" r:id="rId2"/>
    <sheet name="RESUMO" sheetId="3" r:id="rId3"/>
  </sheets>
  <definedNames>
    <definedName name="_xlnm.Print_Area" localSheetId="0">'12h_DIURNO'!$A$1:$I$157</definedName>
    <definedName name="_xlnm.Print_Area" localSheetId="1">'12h_NOTURNO'!$A$1:$I$164</definedName>
  </definedNames>
  <calcPr fullCalcOnLoad="1"/>
</workbook>
</file>

<file path=xl/comments1.xml><?xml version="1.0" encoding="utf-8"?>
<comments xmlns="http://schemas.openxmlformats.org/spreadsheetml/2006/main">
  <authors>
    <author>JULIANO DOS SANTOS GREVE</author>
  </authors>
  <commentList>
    <comment ref="I10" authorId="0">
      <text>
        <r>
          <rPr>
            <b/>
            <sz val="7"/>
            <rFont val="Segoe UI"/>
            <family val="2"/>
          </rPr>
          <t>Art. 21, Inciso VIII da LC 7/73</t>
        </r>
      </text>
    </comment>
  </commentList>
</comments>
</file>

<file path=xl/comments2.xml><?xml version="1.0" encoding="utf-8"?>
<comments xmlns="http://schemas.openxmlformats.org/spreadsheetml/2006/main">
  <authors>
    <author>JULIANO DOS SANTOS GREVE</author>
  </authors>
  <commentList>
    <comment ref="I10" authorId="0">
      <text>
        <r>
          <rPr>
            <b/>
            <sz val="7"/>
            <rFont val="Segoe UI"/>
            <family val="2"/>
          </rPr>
          <t>Art. 21, Inciso VIII da LC 7/73</t>
        </r>
      </text>
    </comment>
  </commentList>
</comments>
</file>

<file path=xl/sharedStrings.xml><?xml version="1.0" encoding="utf-8"?>
<sst xmlns="http://schemas.openxmlformats.org/spreadsheetml/2006/main" count="471" uniqueCount="187">
  <si>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</si>
  <si>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t>PROCESSO:</t>
  </si>
  <si>
    <t>LICITAÇÃO/EDITAL</t>
  </si>
  <si>
    <t>ABERTURA:</t>
  </si>
  <si>
    <t>PERICULOSIDADE</t>
  </si>
  <si>
    <t>Alíquota</t>
  </si>
  <si>
    <t>Nº Empregado</t>
  </si>
  <si>
    <t>Dias de trabalho</t>
  </si>
  <si>
    <t>Mensal</t>
  </si>
  <si>
    <t>Salário Normativo CCT</t>
  </si>
  <si>
    <t>SINDESP-RS</t>
  </si>
  <si>
    <t>ISSQN</t>
  </si>
  <si>
    <t>PORTO ALEGRE</t>
  </si>
  <si>
    <t>Tarifa Transporte</t>
  </si>
  <si>
    <t>Dias</t>
  </si>
  <si>
    <t>VT p/dia</t>
  </si>
  <si>
    <t>Desconto</t>
  </si>
  <si>
    <t>CCT</t>
  </si>
  <si>
    <t>VA p/dia</t>
  </si>
  <si>
    <t>MONTANTE A</t>
  </si>
  <si>
    <t>I</t>
  </si>
  <si>
    <t>Remuneração - Grupo I</t>
  </si>
  <si>
    <t>%</t>
  </si>
  <si>
    <t>Valor Mensal/unidade de serviço (R$)</t>
  </si>
  <si>
    <t>Salário</t>
  </si>
  <si>
    <t>II</t>
  </si>
  <si>
    <t>Encargos Sociais - Grupo II: Obrigações Sociais</t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</si>
  <si>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</si>
  <si>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</si>
  <si>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</si>
  <si>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</si>
  <si>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</si>
  <si>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</si>
  <si>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</si>
  <si>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</si>
  <si>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</si>
  <si>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</si>
  <si>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</si>
  <si>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Total do Grupo IV</t>
  </si>
  <si>
    <t>V</t>
  </si>
  <si>
    <t>Encargos Sociais - Grupo V: Incidências</t>
  </si>
  <si>
    <t>Total do Grupo V</t>
  </si>
  <si>
    <t>TOTAL DOS ENCAGOS SOCIAIS (II + III + IV + V)</t>
  </si>
  <si>
    <t>VI</t>
  </si>
  <si>
    <t>Demais custos relativos à Norma Coletiva ou Disposições Legais</t>
  </si>
  <si>
    <r>
      <t>Vale-Transporte</t>
    </r>
    <r>
      <rPr>
        <sz val="5"/>
        <color indexed="8"/>
        <rFont val="Calibri"/>
        <family val="2"/>
      </rPr>
      <t xml:space="preserve"> </t>
    </r>
  </si>
  <si>
    <t>Outros (especificar)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</si>
  <si>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</si>
  <si>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</si>
  <si>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</si>
  <si>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</si>
  <si>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</si>
  <si>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</si>
  <si>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</si>
  <si>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</si>
  <si>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</si>
  <si>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</si>
  <si>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</si>
  <si>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Dias por mês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</si>
  <si>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</si>
  <si>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</si>
  <si>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</si>
  <si>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Seguro de vida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</si>
  <si>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</si>
  <si>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Total de Despesas Diretas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</si>
  <si>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</si>
  <si>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</si>
  <si>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</si>
  <si>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</si>
  <si>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</si>
  <si>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</si>
  <si>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Total Montante A</t>
  </si>
  <si>
    <t>Base de Cálculo</t>
  </si>
  <si>
    <t>Despesas Indiretas</t>
  </si>
  <si>
    <t>Despesas Administrativas</t>
  </si>
  <si>
    <t>Seguros</t>
  </si>
  <si>
    <t>Total de Despesas Indiretas</t>
  </si>
  <si>
    <t>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</si>
  <si>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</si>
  <si>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</si>
  <si>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</si>
  <si>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</si>
  <si>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</si>
  <si>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</si>
  <si>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</si>
  <si>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</si>
  <si>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</si>
  <si>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</si>
  <si>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</si>
  <si>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</si>
  <si>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</si>
  <si>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</si>
  <si>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</si>
  <si>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</si>
  <si>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</si>
  <si>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</si>
  <si>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</si>
  <si>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</si>
  <si>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</si>
  <si>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</si>
  <si>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</si>
  <si>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</si>
  <si>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Encargos Sociais (II + III + IV + V)</t>
  </si>
  <si>
    <t xml:space="preserve">Total do Montante A </t>
  </si>
  <si>
    <t xml:space="preserve">Total do Montante B 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</si>
  <si>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</si>
  <si>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</si>
  <si>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</si>
  <si>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</si>
  <si>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</si>
  <si>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Por dia</t>
  </si>
  <si>
    <r>
      <t xml:space="preserve">REGIME DE TRIBUTAÇÃO: </t>
    </r>
    <r>
      <rPr>
        <b/>
        <sz val="14"/>
        <color indexed="10"/>
        <rFont val="Calibri"/>
        <family val="2"/>
      </rPr>
      <t xml:space="preserve">LUCRO REAL e PRESUMIDO </t>
    </r>
    <r>
      <rPr>
        <b/>
        <sz val="10"/>
        <color indexed="10"/>
        <rFont val="Calibri"/>
        <family val="2"/>
      </rPr>
      <t>(*)</t>
    </r>
  </si>
  <si>
    <t>Horas</t>
  </si>
  <si>
    <t>INSS</t>
  </si>
  <si>
    <t xml:space="preserve">SESI ou SESC </t>
  </si>
  <si>
    <t xml:space="preserve">SENAI ou SENAC </t>
  </si>
  <si>
    <t xml:space="preserve">INCRA </t>
  </si>
  <si>
    <t>SALÁRIO EDUCAÇÃO</t>
  </si>
  <si>
    <t>FGTS</t>
  </si>
  <si>
    <t>SEG. ACIDENTE DO TRABALHO (1%, 2% e 3%)</t>
  </si>
  <si>
    <t xml:space="preserve">SEBRAE </t>
  </si>
  <si>
    <t>LUCRO PRESUMIDO e REAL (*)</t>
  </si>
  <si>
    <t>(*) Com fundamento no disposto no artigo 10, inciso I, da lei 10.833/2003 e Lei 10.637/2002, e em conformidade com a informação ASJUR/CELIC 1.724/16, as Pessoas Jurídicas (empresas) referidas na Lei 7.102/83 (vigilância), optantes (enquadradas) pelo Regime de Tributação, Lucro Real, deverão apurar o PIS e a COFINS, pela sistemática cumulativa (Lucro Presumido), ou seja, com base nas alíquotas de 0,65% e 3,00%, respectivamente, sobre a receita bruta. Assim sendo, as Licitantes cujo Regime Tributário é regrado pelo Lucro Real (sistemática não cumulativa), com vista a não onerar a Administração Pública, deverão utilizar na composição dos custos dos tributos, do “Montante C”, na Planilha de Custos e Formação de Preços, as alíquotas, da sistemática cumulativa de 0,65% para o PIS e de 3,00% para a COFINS (Lucro Presumido), desconsiderando as alíquotas de 1,65% e de 7,60% (Lucro Real).</t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</si>
  <si>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</si>
  <si>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Materiais/Equipamentos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</si>
  <si>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</si>
  <si>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</si>
  <si>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Remuneração (I)</t>
  </si>
  <si>
    <t>Demais Custos realtivos a Norma Coletiva ou Disposições Legais (VI)</t>
  </si>
  <si>
    <t>Despesas Diretas (I)</t>
  </si>
  <si>
    <t>Despesas Indiretas (II)</t>
  </si>
  <si>
    <t>Lucro (III)</t>
  </si>
  <si>
    <t>Tributos (I)</t>
  </si>
  <si>
    <t>TOTAL DO MONTANTE A</t>
  </si>
  <si>
    <t>Demais Custos CCT (VI)</t>
  </si>
  <si>
    <t xml:space="preserve">RSRF - Repouso Semanal Remunerado </t>
  </si>
  <si>
    <t>Unitário</t>
  </si>
  <si>
    <t>Vlr Unitário</t>
  </si>
  <si>
    <t>Adicional Troca de Uniforme - Cláusula 20ª CCT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</si>
  <si>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</si>
  <si>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  <r>
      <rPr>
        <sz val="8"/>
        <color indexed="8"/>
        <rFont val="Calibri"/>
        <family val="2"/>
      </rPr>
      <t xml:space="preserve"> </t>
    </r>
  </si>
  <si>
    <t>LICENÇA MATERNIDADE</t>
  </si>
  <si>
    <t>LICENÇA PATERNIDADE</t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</si>
  <si>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</si>
  <si>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ACIDENTE DE TRABALHO</t>
  </si>
  <si>
    <t xml:space="preserve">AVISO PRÉVIO TRABALHADO </t>
  </si>
  <si>
    <t xml:space="preserve">13º SALÁRIO </t>
  </si>
  <si>
    <t>INDENIZAÇÕES</t>
  </si>
  <si>
    <t xml:space="preserve">FGTS SOBRE INDENIZAÇÕES </t>
  </si>
  <si>
    <t>INDENIZAÇÃO COMPENSATÓRIA POR DEMISSÃO SEM JUSTA CAUSA</t>
  </si>
  <si>
    <t xml:space="preserve">INCIDÊNCIA GRUPO II (Obrigações Sociais) X GRUPO III (Tempo Não Trabalhado) </t>
  </si>
  <si>
    <t xml:space="preserve">Auxílio alimentação (Vales, Cesta Básica, ect.) </t>
  </si>
  <si>
    <t>Adicional Intervalar = Salário Hora acrescido de Ad.Periculosidade, Hora Extra e Repouso Semanal Remuner.</t>
  </si>
  <si>
    <t>Adicional Periculosidade 30%  sobre Salário e Ad Troca de Uniforme - Cláusula 18ª CCT</t>
  </si>
  <si>
    <t>Integração RSF (20% sobre Ad.Troca de Uniforme)</t>
  </si>
  <si>
    <t>Total de Remuneração - Grupo I</t>
  </si>
  <si>
    <t>VIGILANTE 12h - CBO 5173</t>
  </si>
  <si>
    <t>Nº horas</t>
  </si>
  <si>
    <t>Vr. Hora</t>
  </si>
  <si>
    <t>Hora Intervalar (Parecer PGE 16.959/17 e Tabela Remuneratória SINDESP/RS)</t>
  </si>
  <si>
    <r>
      <t>Detalhamento dos Serviços: Custo relativo empregado da categoria</t>
    </r>
    <r>
      <rPr>
        <b/>
        <sz val="8"/>
        <color indexed="8"/>
        <rFont val="Calibri"/>
        <family val="2"/>
      </rPr>
      <t xml:space="preserve"> VIGILANTE</t>
    </r>
    <r>
      <rPr>
        <sz val="8"/>
        <color indexed="8"/>
        <rFont val="Calibri"/>
        <family val="2"/>
      </rPr>
      <t xml:space="preserve">, com jornada de </t>
    </r>
    <r>
      <rPr>
        <b/>
        <sz val="8"/>
        <color indexed="8"/>
        <rFont val="Calibri"/>
        <family val="2"/>
      </rPr>
      <t>12 horas</t>
    </r>
    <r>
      <rPr>
        <sz val="8"/>
        <color indexed="8"/>
        <rFont val="Calibri"/>
        <family val="2"/>
      </rPr>
      <t xml:space="preserve">, de domingo a sábado, com </t>
    </r>
    <r>
      <rPr>
        <b/>
        <sz val="8"/>
        <color indexed="8"/>
        <rFont val="Calibri"/>
        <family val="2"/>
      </rPr>
      <t xml:space="preserve">escala 12 x 36 (220 horas) </t>
    </r>
    <r>
      <rPr>
        <sz val="8"/>
        <color indexed="8"/>
        <rFont val="Calibri"/>
        <family val="2"/>
      </rPr>
      <t xml:space="preserve">em </t>
    </r>
    <r>
      <rPr>
        <b/>
        <sz val="8"/>
        <color indexed="8"/>
        <rFont val="Calibri"/>
        <family val="2"/>
      </rPr>
      <t>PORTO ALEGRE</t>
    </r>
    <r>
      <rPr>
        <sz val="8"/>
        <color indexed="8"/>
        <rFont val="Calibri"/>
        <family val="2"/>
      </rPr>
      <t xml:space="preserve">. 
Horário: </t>
    </r>
    <r>
      <rPr>
        <b/>
        <sz val="8"/>
        <color indexed="8"/>
        <rFont val="Calibri"/>
        <family val="2"/>
      </rPr>
      <t>19h as 7h.</t>
    </r>
    <r>
      <rPr>
        <sz val="8"/>
        <color indexed="8"/>
        <rFont val="Calibri"/>
        <family val="2"/>
      </rPr>
      <t xml:space="preserve">
Conforme Convenção Coletiva do SINDESP-RS, registro no MTE sob nº RS/0001107/2017.</t>
    </r>
  </si>
  <si>
    <r>
      <t>Adicional Noturno (Horas: 60/52,5 = 1,1428571 x 9h = 10,285713h X 15 dias = 154,28569h)</t>
    </r>
    <r>
      <rPr>
        <sz val="8"/>
        <color indexed="8"/>
        <rFont val="Calibri"/>
        <family val="2"/>
      </rPr>
      <t xml:space="preserve">
Salário hora: R$ 6,40 X 20% = R$ 1,28 + 30% Peric. R$ 0,38 = </t>
    </r>
    <r>
      <rPr>
        <b/>
        <sz val="8"/>
        <color indexed="8"/>
        <rFont val="Calibri"/>
        <family val="2"/>
      </rPr>
      <t>R$ 1,664</t>
    </r>
  </si>
  <si>
    <t>Adicional Noturno (20%) + Periculosidade (30%): 154,286 h x R$ 1,664</t>
  </si>
  <si>
    <t>Subtotal</t>
  </si>
  <si>
    <t>Integração RSRF (20%) sobre H. Extra Red. Noturna e Adic Noturno</t>
  </si>
  <si>
    <t>Postos</t>
  </si>
  <si>
    <t>-</t>
  </si>
  <si>
    <t>Vigilante</t>
  </si>
  <si>
    <t>Função</t>
  </si>
  <si>
    <t>Jornada</t>
  </si>
  <si>
    <t>Coef Lucro Presumido</t>
  </si>
  <si>
    <r>
      <t>Coef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</si>
  <si>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Coef Lucro Real</t>
  </si>
  <si>
    <r>
      <t>Preço unitário</t>
    </r>
    <r>
      <rPr>
        <b/>
        <sz val="11"/>
        <color indexed="8"/>
        <rFont val="Calibri"/>
        <family val="2"/>
      </rPr>
      <t xml:space="preserve"> (R$)</t>
    </r>
  </si>
  <si>
    <r>
      <t xml:space="preserve">Preço mensal </t>
    </r>
    <r>
      <rPr>
        <b/>
        <sz val="11"/>
        <color indexed="8"/>
        <rFont val="Calibri"/>
        <family val="2"/>
      </rPr>
      <t>(R$)</t>
    </r>
  </si>
  <si>
    <t>Total</t>
  </si>
  <si>
    <r>
      <t>Detalhamento dos Serviços: Custo relativo empregado da categoria</t>
    </r>
    <r>
      <rPr>
        <b/>
        <sz val="8"/>
        <color indexed="8"/>
        <rFont val="Calibri"/>
        <family val="2"/>
      </rPr>
      <t xml:space="preserve"> VIGILANTE</t>
    </r>
    <r>
      <rPr>
        <sz val="8"/>
        <color indexed="8"/>
        <rFont val="Calibri"/>
        <family val="2"/>
      </rPr>
      <t xml:space="preserve">, com jornada de </t>
    </r>
    <r>
      <rPr>
        <b/>
        <sz val="8"/>
        <color indexed="8"/>
        <rFont val="Calibri"/>
        <family val="2"/>
      </rPr>
      <t>12 horas</t>
    </r>
    <r>
      <rPr>
        <sz val="8"/>
        <color indexed="8"/>
        <rFont val="Calibri"/>
        <family val="2"/>
      </rPr>
      <t xml:space="preserve">, de segunda a domingo, com </t>
    </r>
    <r>
      <rPr>
        <b/>
        <sz val="8"/>
        <color indexed="8"/>
        <rFont val="Calibri"/>
        <family val="2"/>
      </rPr>
      <t xml:space="preserve">escala 12 x 36 (220 horas) </t>
    </r>
    <r>
      <rPr>
        <sz val="8"/>
        <color indexed="8"/>
        <rFont val="Calibri"/>
        <family val="2"/>
      </rPr>
      <t xml:space="preserve">em </t>
    </r>
    <r>
      <rPr>
        <b/>
        <sz val="8"/>
        <color indexed="8"/>
        <rFont val="Calibri"/>
        <family val="2"/>
      </rPr>
      <t>PORTO ALEGRE</t>
    </r>
    <r>
      <rPr>
        <sz val="8"/>
        <color indexed="8"/>
        <rFont val="Calibri"/>
        <family val="2"/>
      </rPr>
      <t>. 
Horário:</t>
    </r>
    <r>
      <rPr>
        <b/>
        <sz val="8"/>
        <color indexed="8"/>
        <rFont val="Calibri"/>
        <family val="2"/>
      </rPr>
      <t xml:space="preserve"> 7h as 19h.</t>
    </r>
    <r>
      <rPr>
        <sz val="8"/>
        <color indexed="8"/>
        <rFont val="Calibri"/>
        <family val="2"/>
      </rPr>
      <t xml:space="preserve">
Conforme Convenção Coletiva do SINDESP-RS, registro no MTE sob nº RS/0001107/2017.</t>
    </r>
  </si>
  <si>
    <t>Escala</t>
  </si>
  <si>
    <t>12 X 36 horas</t>
  </si>
  <si>
    <t>17/2159-0000146-5</t>
  </si>
  <si>
    <t>Auxílio Alimentação - Cláusula 21ª CCT</t>
  </si>
  <si>
    <r>
      <t xml:space="preserve">Reduzida Noturna (CCT 2017/2018 e Tabela Remuneratória SINDESP/RS) = </t>
    </r>
    <r>
      <rPr>
        <b/>
        <sz val="8"/>
        <color indexed="8"/>
        <rFont val="Calibri"/>
        <family val="2"/>
      </rPr>
      <t>4,33h</t>
    </r>
    <r>
      <rPr>
        <sz val="8"/>
        <color indexed="8"/>
        <rFont val="Calibri"/>
        <family val="2"/>
      </rPr>
      <t xml:space="preserve"> reduzidas noturnas.
Salário hora: R$ 12,48 X 4,33h = </t>
    </r>
    <r>
      <rPr>
        <b/>
        <sz val="8"/>
        <color indexed="8"/>
        <rFont val="Calibri"/>
        <family val="2"/>
      </rPr>
      <t>R$ 54,04</t>
    </r>
  </si>
  <si>
    <t>Feriado (Súmula 444 do TST e cláusula 27ª CCT) = Valor da hora acrescido de periculosidade 30% e adicional extra 30%)</t>
  </si>
  <si>
    <t>24 horas</t>
  </si>
  <si>
    <t>QUADRO RESUMO MENSAL</t>
  </si>
  <si>
    <t>Reduzida noturna</t>
  </si>
  <si>
    <t>Feriado (Súmula 444 do TST e cláusula 27ª CCT) = Valor da hora acrescido de periculosidade 30% e adicional extra 30%), correspondente a um feriado por mês.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</si>
</sst>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00"/>
    <numFmt numFmtId="166" formatCode="#,##0.000"/>
    <numFmt numFmtId="167" formatCode="0.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5"/>
      <color indexed="8"/>
      <name val="Calibri"/>
      <family val="2"/>
    </font>
    <font>
      <i/>
      <sz val="7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6"/>
      <color indexed="8"/>
      <name val="Calibri"/>
      <family val="2"/>
    </font>
    <font>
      <sz val="5"/>
      <color indexed="8"/>
      <name val="Calibri"/>
      <family val="2"/>
    </font>
    <font>
      <vertAlign val="superscript"/>
      <sz val="8"/>
      <color indexed="8"/>
      <name val="Calibri"/>
      <family val="2"/>
    </font>
    <font>
      <i/>
      <sz val="6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i/>
      <sz val="6"/>
      <color indexed="8"/>
      <name val="Calibri"/>
      <family val="2"/>
    </font>
    <font>
      <b/>
      <sz val="10"/>
      <color indexed="10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name val="Segoe U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5"/>
      <color theme="1"/>
      <name val="Calibri"/>
      <family val="2"/>
    </font>
    <font>
      <b/>
      <i/>
      <sz val="6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7"/>
      <color theme="1"/>
      <name val="Calibri"/>
      <family val="2"/>
    </font>
    <font>
      <i/>
      <sz val="6"/>
      <color theme="1"/>
      <name val="Calibri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5">
    <xf numFmtId="0" fontId="0" fillId="0" borderId="0" xfId="0" applyFont="1" applyAlignment="1">
      <alignment/>
    </xf>
    <xf numFmtId="164" fontId="60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5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164" fontId="60" fillId="0" borderId="11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 wrapText="1"/>
    </xf>
    <xf numFmtId="4" fontId="60" fillId="33" borderId="11" xfId="0" applyNumberFormat="1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164" fontId="62" fillId="0" borderId="11" xfId="0" applyNumberFormat="1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164" fontId="62" fillId="0" borderId="0" xfId="0" applyNumberFormat="1" applyFont="1" applyBorder="1" applyAlignment="1">
      <alignment horizontal="center" vertical="center" wrapText="1"/>
    </xf>
    <xf numFmtId="4" fontId="62" fillId="0" borderId="0" xfId="0" applyNumberFormat="1" applyFont="1" applyBorder="1" applyAlignment="1">
      <alignment horizontal="center" vertical="center" wrapText="1"/>
    </xf>
    <xf numFmtId="4" fontId="62" fillId="34" borderId="11" xfId="0" applyNumberFormat="1" applyFont="1" applyFill="1" applyBorder="1" applyAlignment="1">
      <alignment horizontal="center" vertical="center" wrapText="1"/>
    </xf>
    <xf numFmtId="0" fontId="63" fillId="0" borderId="0" xfId="0" applyFont="1" applyAlignment="1" quotePrefix="1">
      <alignment horizontal="center" vertical="center" wrapText="1"/>
    </xf>
    <xf numFmtId="164" fontId="62" fillId="35" borderId="11" xfId="0" applyNumberFormat="1" applyFont="1" applyFill="1" applyBorder="1" applyAlignment="1">
      <alignment horizontal="center" vertical="center" wrapText="1"/>
    </xf>
    <xf numFmtId="4" fontId="62" fillId="35" borderId="11" xfId="0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2" fontId="60" fillId="0" borderId="11" xfId="0" applyNumberFormat="1" applyFont="1" applyBorder="1" applyAlignment="1">
      <alignment horizontal="center" vertical="center" wrapText="1"/>
    </xf>
    <xf numFmtId="9" fontId="60" fillId="0" borderId="1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2" fontId="64" fillId="0" borderId="0" xfId="0" applyNumberFormat="1" applyFont="1" applyBorder="1" applyAlignment="1">
      <alignment horizontal="center" vertical="center" wrapText="1"/>
    </xf>
    <xf numFmtId="9" fontId="64" fillId="0" borderId="0" xfId="0" applyNumberFormat="1" applyFont="1" applyBorder="1" applyAlignment="1">
      <alignment horizontal="center" vertical="center" wrapText="1"/>
    </xf>
    <xf numFmtId="4" fontId="64" fillId="0" borderId="0" xfId="0" applyNumberFormat="1" applyFont="1" applyBorder="1" applyAlignment="1">
      <alignment horizontal="center" vertical="center" wrapText="1"/>
    </xf>
    <xf numFmtId="10" fontId="60" fillId="0" borderId="11" xfId="0" applyNumberFormat="1" applyFont="1" applyBorder="1" applyAlignment="1">
      <alignment horizontal="center" vertical="center" wrapText="1"/>
    </xf>
    <xf numFmtId="164" fontId="62" fillId="13" borderId="11" xfId="0" applyNumberFormat="1" applyFont="1" applyFill="1" applyBorder="1" applyAlignment="1">
      <alignment horizontal="center" vertical="center" wrapText="1"/>
    </xf>
    <xf numFmtId="4" fontId="62" fillId="13" borderId="11" xfId="0" applyNumberFormat="1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164" fontId="62" fillId="33" borderId="0" xfId="0" applyNumberFormat="1" applyFont="1" applyFill="1" applyBorder="1" applyAlignment="1">
      <alignment horizontal="center" vertical="center" wrapText="1"/>
    </xf>
    <xf numFmtId="4" fontId="62" fillId="33" borderId="0" xfId="0" applyNumberFormat="1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9" fontId="61" fillId="25" borderId="11" xfId="0" applyNumberFormat="1" applyFont="1" applyFill="1" applyBorder="1" applyAlignment="1" quotePrefix="1">
      <alignment horizontal="center" vertical="center" wrapText="1"/>
    </xf>
    <xf numFmtId="2" fontId="61" fillId="34" borderId="11" xfId="0" applyNumberFormat="1" applyFont="1" applyFill="1" applyBorder="1" applyAlignment="1" quotePrefix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 quotePrefix="1">
      <alignment horizontal="center" vertical="center" wrapText="1"/>
    </xf>
    <xf numFmtId="10" fontId="65" fillId="33" borderId="11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49" fontId="62" fillId="33" borderId="11" xfId="0" applyNumberFormat="1" applyFont="1" applyFill="1" applyBorder="1" applyAlignment="1">
      <alignment horizontal="center" vertical="center" wrapText="1"/>
    </xf>
    <xf numFmtId="0" fontId="66" fillId="0" borderId="0" xfId="0" applyFont="1" applyAlignment="1" quotePrefix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0" fillId="10" borderId="11" xfId="0" applyFont="1" applyFill="1" applyBorder="1" applyAlignment="1">
      <alignment horizontal="center" vertical="center" wrapText="1"/>
    </xf>
    <xf numFmtId="4" fontId="60" fillId="10" borderId="11" xfId="0" applyNumberFormat="1" applyFont="1" applyFill="1" applyBorder="1" applyAlignment="1">
      <alignment horizontal="center" vertical="center" wrapText="1"/>
    </xf>
    <xf numFmtId="4" fontId="62" fillId="10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7" fillId="33" borderId="12" xfId="0" applyFont="1" applyFill="1" applyBorder="1" applyAlignment="1" quotePrefix="1">
      <alignment horizontal="center" vertical="center" wrapText="1"/>
    </xf>
    <xf numFmtId="10" fontId="61" fillId="0" borderId="11" xfId="0" applyNumberFormat="1" applyFont="1" applyBorder="1" applyAlignment="1">
      <alignment horizontal="center" vertical="center" wrapText="1"/>
    </xf>
    <xf numFmtId="4" fontId="60" fillId="33" borderId="11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 quotePrefix="1">
      <alignment horizontal="center" vertical="center" wrapText="1"/>
    </xf>
    <xf numFmtId="4" fontId="60" fillId="33" borderId="11" xfId="0" applyNumberFormat="1" applyFont="1" applyFill="1" applyBorder="1" applyAlignment="1">
      <alignment horizontal="center" vertical="center" wrapText="1"/>
    </xf>
    <xf numFmtId="0" fontId="60" fillId="10" borderId="11" xfId="0" applyFont="1" applyFill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5" fillId="33" borderId="11" xfId="0" applyFont="1" applyFill="1" applyBorder="1" applyAlignment="1" quotePrefix="1">
      <alignment horizontal="center" vertical="center" wrapText="1"/>
    </xf>
    <xf numFmtId="4" fontId="60" fillId="33" borderId="11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0" fillId="0" borderId="11" xfId="0" applyFont="1" applyBorder="1" applyAlignment="1">
      <alignment horizontal="center" vertical="center" wrapText="1"/>
    </xf>
    <xf numFmtId="4" fontId="60" fillId="33" borderId="11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/>
    </xf>
    <xf numFmtId="9" fontId="60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/>
    </xf>
    <xf numFmtId="0" fontId="70" fillId="0" borderId="11" xfId="0" applyFont="1" applyFill="1" applyBorder="1" applyAlignment="1">
      <alignment horizontal="center" vertical="top"/>
    </xf>
    <xf numFmtId="0" fontId="69" fillId="0" borderId="11" xfId="0" applyFont="1" applyBorder="1" applyAlignment="1">
      <alignment horizontal="center"/>
    </xf>
    <xf numFmtId="0" fontId="69" fillId="0" borderId="11" xfId="0" applyFont="1" applyFill="1" applyBorder="1" applyAlignment="1">
      <alignment horizontal="center" vertical="top"/>
    </xf>
    <xf numFmtId="0" fontId="69" fillId="0" borderId="11" xfId="0" applyFont="1" applyFill="1" applyBorder="1" applyAlignment="1">
      <alignment horizontal="center" vertical="center"/>
    </xf>
    <xf numFmtId="167" fontId="60" fillId="0" borderId="11" xfId="0" applyNumberFormat="1" applyFont="1" applyBorder="1" applyAlignment="1">
      <alignment horizontal="center" vertical="center" wrapText="1"/>
    </xf>
    <xf numFmtId="167" fontId="62" fillId="36" borderId="13" xfId="0" applyNumberFormat="1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4" fontId="70" fillId="0" borderId="11" xfId="0" applyNumberFormat="1" applyFont="1" applyFill="1" applyBorder="1" applyAlignment="1">
      <alignment horizontal="right" vertical="top"/>
    </xf>
    <xf numFmtId="4" fontId="69" fillId="0" borderId="11" xfId="0" applyNumberFormat="1" applyFont="1" applyFill="1" applyBorder="1" applyAlignment="1">
      <alignment horizontal="right" vertical="top"/>
    </xf>
    <xf numFmtId="0" fontId="60" fillId="35" borderId="11" xfId="0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9" fontId="71" fillId="35" borderId="11" xfId="0" applyNumberFormat="1" applyFont="1" applyFill="1" applyBorder="1" applyAlignment="1">
      <alignment horizontal="center" vertical="center" wrapText="1"/>
    </xf>
    <xf numFmtId="4" fontId="60" fillId="35" borderId="11" xfId="0" applyNumberFormat="1" applyFont="1" applyFill="1" applyBorder="1" applyAlignment="1">
      <alignment horizontal="center" vertical="center" wrapText="1"/>
    </xf>
    <xf numFmtId="10" fontId="60" fillId="35" borderId="11" xfId="0" applyNumberFormat="1" applyFont="1" applyFill="1" applyBorder="1" applyAlignment="1">
      <alignment horizontal="center" vertical="center" wrapText="1"/>
    </xf>
    <xf numFmtId="2" fontId="60" fillId="35" borderId="11" xfId="0" applyNumberFormat="1" applyFont="1" applyFill="1" applyBorder="1" applyAlignment="1">
      <alignment horizontal="center" vertical="center" wrapText="1"/>
    </xf>
    <xf numFmtId="9" fontId="60" fillId="35" borderId="11" xfId="0" applyNumberFormat="1" applyFont="1" applyFill="1" applyBorder="1" applyAlignment="1">
      <alignment horizontal="center" vertical="center" wrapText="1"/>
    </xf>
    <xf numFmtId="1" fontId="60" fillId="35" borderId="11" xfId="0" applyNumberFormat="1" applyFont="1" applyFill="1" applyBorder="1" applyAlignment="1">
      <alignment horizontal="center" vertical="center" wrapText="1"/>
    </xf>
    <xf numFmtId="166" fontId="60" fillId="35" borderId="12" xfId="0" applyNumberFormat="1" applyFont="1" applyFill="1" applyBorder="1" applyAlignment="1">
      <alignment horizontal="center" vertical="center" wrapText="1"/>
    </xf>
    <xf numFmtId="2" fontId="60" fillId="35" borderId="12" xfId="0" applyNumberFormat="1" applyFont="1" applyFill="1" applyBorder="1" applyAlignment="1">
      <alignment horizontal="center" vertical="center" wrapText="1"/>
    </xf>
    <xf numFmtId="165" fontId="60" fillId="35" borderId="12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8" fillId="35" borderId="11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73" fillId="5" borderId="13" xfId="0" applyFont="1" applyFill="1" applyBorder="1" applyAlignment="1">
      <alignment horizontal="center" vertical="center" wrapText="1"/>
    </xf>
    <xf numFmtId="0" fontId="73" fillId="5" borderId="14" xfId="0" applyFont="1" applyFill="1" applyBorder="1" applyAlignment="1">
      <alignment horizontal="center" vertical="center" wrapText="1"/>
    </xf>
    <xf numFmtId="0" fontId="73" fillId="5" borderId="15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74" fillId="0" borderId="22" xfId="0" applyFont="1" applyBorder="1" applyAlignment="1">
      <alignment horizontal="left" vertical="center" wrapText="1"/>
    </xf>
    <xf numFmtId="0" fontId="62" fillId="35" borderId="11" xfId="0" applyFont="1" applyFill="1" applyBorder="1" applyAlignment="1">
      <alignment horizontal="center" vertical="center" wrapText="1"/>
    </xf>
    <xf numFmtId="2" fontId="60" fillId="0" borderId="11" xfId="0" applyNumberFormat="1" applyFont="1" applyBorder="1" applyAlignment="1">
      <alignment horizontal="center" vertical="center" wrapText="1"/>
    </xf>
    <xf numFmtId="0" fontId="62" fillId="13" borderId="11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1" fillId="25" borderId="13" xfId="0" applyFont="1" applyFill="1" applyBorder="1" applyAlignment="1">
      <alignment vertical="top" wrapText="1"/>
    </xf>
    <xf numFmtId="0" fontId="61" fillId="25" borderId="14" xfId="0" applyFont="1" applyFill="1" applyBorder="1" applyAlignment="1" quotePrefix="1">
      <alignment vertical="top" wrapText="1"/>
    </xf>
    <xf numFmtId="0" fontId="61" fillId="25" borderId="15" xfId="0" applyFont="1" applyFill="1" applyBorder="1" applyAlignment="1" quotePrefix="1">
      <alignment vertical="top" wrapText="1"/>
    </xf>
    <xf numFmtId="0" fontId="65" fillId="33" borderId="11" xfId="0" applyFont="1" applyFill="1" applyBorder="1" applyAlignment="1" quotePrefix="1">
      <alignment horizontal="center" vertical="center" wrapText="1"/>
    </xf>
    <xf numFmtId="4" fontId="60" fillId="33" borderId="11" xfId="0" applyNumberFormat="1" applyFont="1" applyFill="1" applyBorder="1" applyAlignment="1">
      <alignment horizontal="center" vertical="center" wrapText="1"/>
    </xf>
    <xf numFmtId="0" fontId="75" fillId="0" borderId="2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61" fillId="25" borderId="11" xfId="0" applyFont="1" applyFill="1" applyBorder="1" applyAlignment="1" quotePrefix="1">
      <alignment horizontal="center" vertical="center" wrapText="1"/>
    </xf>
    <xf numFmtId="0" fontId="74" fillId="0" borderId="0" xfId="0" applyFont="1" applyBorder="1" applyAlignment="1">
      <alignment horizontal="left" vertical="center" wrapText="1"/>
    </xf>
    <xf numFmtId="0" fontId="62" fillId="34" borderId="11" xfId="0" applyFont="1" applyFill="1" applyBorder="1" applyAlignment="1" quotePrefix="1">
      <alignment horizontal="center" vertical="center" wrapText="1"/>
    </xf>
    <xf numFmtId="0" fontId="60" fillId="0" borderId="11" xfId="0" applyFont="1" applyBorder="1" applyAlignment="1" quotePrefix="1">
      <alignment horizontal="center" vertical="center" wrapText="1"/>
    </xf>
    <xf numFmtId="0" fontId="60" fillId="36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 quotePrefix="1">
      <alignment horizontal="left" vertical="center" wrapText="1"/>
    </xf>
    <xf numFmtId="10" fontId="60" fillId="36" borderId="11" xfId="0" applyNumberFormat="1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left" vertical="center" wrapText="1"/>
    </xf>
    <xf numFmtId="10" fontId="61" fillId="36" borderId="12" xfId="0" applyNumberFormat="1" applyFont="1" applyFill="1" applyBorder="1" applyAlignment="1">
      <alignment horizontal="center" vertical="center" wrapText="1"/>
    </xf>
    <xf numFmtId="4" fontId="60" fillId="0" borderId="13" xfId="0" applyNumberFormat="1" applyFont="1" applyBorder="1" applyAlignment="1">
      <alignment horizontal="center" vertical="center" wrapText="1"/>
    </xf>
    <xf numFmtId="4" fontId="60" fillId="0" borderId="15" xfId="0" applyNumberFormat="1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4" fontId="62" fillId="0" borderId="13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62" fillId="13" borderId="13" xfId="0" applyFont="1" applyFill="1" applyBorder="1" applyAlignment="1">
      <alignment horizontal="center" vertical="center" wrapText="1"/>
    </xf>
    <xf numFmtId="0" fontId="62" fillId="13" borderId="14" xfId="0" applyFont="1" applyFill="1" applyBorder="1" applyAlignment="1">
      <alignment horizontal="center" vertical="center" wrapText="1"/>
    </xf>
    <xf numFmtId="0" fontId="62" fillId="13" borderId="15" xfId="0" applyFont="1" applyFill="1" applyBorder="1" applyAlignment="1">
      <alignment horizontal="center" vertical="center" wrapText="1"/>
    </xf>
    <xf numFmtId="0" fontId="76" fillId="36" borderId="24" xfId="0" applyFont="1" applyFill="1" applyBorder="1" applyAlignment="1">
      <alignment horizontal="justify" vertical="center" wrapText="1"/>
    </xf>
    <xf numFmtId="0" fontId="77" fillId="36" borderId="25" xfId="0" applyFont="1" applyFill="1" applyBorder="1" applyAlignment="1">
      <alignment horizontal="justify" vertical="center" wrapText="1"/>
    </xf>
    <xf numFmtId="0" fontId="77" fillId="36" borderId="26" xfId="0" applyFont="1" applyFill="1" applyBorder="1" applyAlignment="1">
      <alignment horizontal="justify" vertical="center" wrapText="1"/>
    </xf>
    <xf numFmtId="0" fontId="65" fillId="0" borderId="22" xfId="0" applyFont="1" applyBorder="1" applyAlignment="1">
      <alignment horizontal="left" vertical="center" wrapText="1"/>
    </xf>
    <xf numFmtId="0" fontId="61" fillId="11" borderId="11" xfId="0" applyFont="1" applyFill="1" applyBorder="1" applyAlignment="1">
      <alignment horizontal="center" vertical="center" wrapText="1"/>
    </xf>
    <xf numFmtId="0" fontId="61" fillId="10" borderId="11" xfId="0" applyFont="1" applyFill="1" applyBorder="1" applyAlignment="1">
      <alignment horizontal="center" vertical="center" wrapText="1"/>
    </xf>
    <xf numFmtId="0" fontId="60" fillId="10" borderId="13" xfId="0" applyFont="1" applyFill="1" applyBorder="1" applyAlignment="1">
      <alignment horizontal="left" vertical="center" wrapText="1"/>
    </xf>
    <xf numFmtId="0" fontId="60" fillId="10" borderId="14" xfId="0" applyFont="1" applyFill="1" applyBorder="1" applyAlignment="1">
      <alignment horizontal="left" vertical="center" wrapText="1"/>
    </xf>
    <xf numFmtId="0" fontId="60" fillId="10" borderId="15" xfId="0" applyFont="1" applyFill="1" applyBorder="1" applyAlignment="1">
      <alignment horizontal="left" vertical="center" wrapText="1"/>
    </xf>
    <xf numFmtId="0" fontId="62" fillId="10" borderId="13" xfId="0" applyFont="1" applyFill="1" applyBorder="1" applyAlignment="1">
      <alignment horizontal="center" vertical="center" wrapText="1"/>
    </xf>
    <xf numFmtId="0" fontId="62" fillId="10" borderId="14" xfId="0" applyFont="1" applyFill="1" applyBorder="1" applyAlignment="1">
      <alignment horizontal="center" vertical="center" wrapText="1"/>
    </xf>
    <xf numFmtId="0" fontId="62" fillId="10" borderId="15" xfId="0" applyFont="1" applyFill="1" applyBorder="1" applyAlignment="1">
      <alignment horizontal="center" vertical="center" wrapText="1"/>
    </xf>
    <xf numFmtId="0" fontId="60" fillId="1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9" borderId="0" xfId="0" applyFont="1" applyFill="1" applyBorder="1" applyAlignment="1">
      <alignment horizontal="left" vertical="center" wrapText="1"/>
    </xf>
    <xf numFmtId="0" fontId="69" fillId="14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tabSelected="1" view="pageBreakPreview" zoomScaleNormal="130" zoomScaleSheetLayoutView="100" zoomScalePageLayoutView="0" workbookViewId="0" topLeftCell="A92">
      <selection activeCell="I107" sqref="I107"/>
    </sheetView>
  </sheetViews>
  <sheetFormatPr defaultColWidth="9.140625" defaultRowHeight="15"/>
  <cols>
    <col min="1" max="1" width="2.8515625" style="2" customWidth="1"/>
    <col min="2" max="6" width="11.28125" style="2" customWidth="1"/>
    <col min="7" max="7" width="11.57421875" style="2" customWidth="1"/>
    <col min="8" max="8" width="9.00390625" style="2" customWidth="1"/>
    <col min="9" max="9" width="11.7109375" style="2" customWidth="1"/>
    <col min="10" max="10" width="11.140625" style="0" bestFit="1" customWidth="1"/>
    <col min="11" max="11" width="10.00390625" style="0" bestFit="1" customWidth="1"/>
    <col min="17" max="16384" width="9.140625" style="2" customWidth="1"/>
  </cols>
  <sheetData>
    <row r="1" spans="1:9" ht="26.2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40.5" customHeight="1">
      <c r="A2" s="107" t="s">
        <v>1</v>
      </c>
      <c r="B2" s="107"/>
      <c r="C2" s="108" t="s">
        <v>179</v>
      </c>
      <c r="D2" s="108"/>
      <c r="E2" s="109" t="s">
        <v>111</v>
      </c>
      <c r="F2" s="109"/>
      <c r="G2" s="109"/>
      <c r="H2" s="109"/>
      <c r="I2" s="109"/>
    </row>
    <row r="3" spans="1:9" ht="11.25">
      <c r="A3" s="107" t="s">
        <v>2</v>
      </c>
      <c r="B3" s="107"/>
      <c r="C3" s="4"/>
      <c r="D3" s="3"/>
      <c r="E3" s="21" t="s">
        <v>3</v>
      </c>
      <c r="F3" s="21"/>
      <c r="G3" s="3"/>
      <c r="H3" s="3"/>
      <c r="I3" s="3"/>
    </row>
    <row r="4" ht="4.5" customHeight="1"/>
    <row r="5" spans="1:9" ht="17.25" customHeight="1">
      <c r="A5" s="110" t="s">
        <v>176</v>
      </c>
      <c r="B5" s="111"/>
      <c r="C5" s="111"/>
      <c r="D5" s="111"/>
      <c r="E5" s="111"/>
      <c r="F5" s="112"/>
      <c r="G5" s="106" t="s">
        <v>156</v>
      </c>
      <c r="H5" s="106"/>
      <c r="I5" s="82">
        <v>220</v>
      </c>
    </row>
    <row r="6" spans="1:9" ht="18.75" customHeight="1">
      <c r="A6" s="113"/>
      <c r="B6" s="114"/>
      <c r="C6" s="114"/>
      <c r="D6" s="114"/>
      <c r="E6" s="114"/>
      <c r="F6" s="115"/>
      <c r="G6" s="119" t="s">
        <v>4</v>
      </c>
      <c r="H6" s="81" t="s">
        <v>5</v>
      </c>
      <c r="I6" s="83">
        <v>0.3</v>
      </c>
    </row>
    <row r="7" spans="1:16" s="1" customFormat="1" ht="22.5" customHeight="1">
      <c r="A7" s="116"/>
      <c r="B7" s="117"/>
      <c r="C7" s="117"/>
      <c r="D7" s="117"/>
      <c r="E7" s="117"/>
      <c r="F7" s="118"/>
      <c r="G7" s="119"/>
      <c r="H7" s="81" t="s">
        <v>6</v>
      </c>
      <c r="I7" s="81">
        <v>1</v>
      </c>
      <c r="J7"/>
      <c r="K7"/>
      <c r="L7"/>
      <c r="M7"/>
      <c r="N7"/>
      <c r="O7"/>
      <c r="P7"/>
    </row>
    <row r="8" spans="1:16" s="1" customFormat="1" ht="11.25" customHeight="1">
      <c r="A8" s="94" t="s">
        <v>7</v>
      </c>
      <c r="B8" s="95"/>
      <c r="C8" s="95"/>
      <c r="D8" s="95"/>
      <c r="E8" s="95"/>
      <c r="F8" s="96"/>
      <c r="G8" s="81"/>
      <c r="H8" s="81" t="s">
        <v>8</v>
      </c>
      <c r="I8" s="81">
        <v>15</v>
      </c>
      <c r="J8"/>
      <c r="K8"/>
      <c r="L8"/>
      <c r="M8"/>
      <c r="N8"/>
      <c r="O8"/>
      <c r="P8"/>
    </row>
    <row r="9" spans="1:16" s="1" customFormat="1" ht="15" customHeight="1">
      <c r="A9" s="94" t="s">
        <v>9</v>
      </c>
      <c r="B9" s="95"/>
      <c r="C9" s="95"/>
      <c r="D9" s="95"/>
      <c r="E9" s="95"/>
      <c r="F9" s="96"/>
      <c r="G9" s="81" t="s">
        <v>10</v>
      </c>
      <c r="H9" s="81">
        <v>220</v>
      </c>
      <c r="I9" s="84">
        <v>1408</v>
      </c>
      <c r="J9"/>
      <c r="K9"/>
      <c r="L9"/>
      <c r="M9"/>
      <c r="N9"/>
      <c r="O9"/>
      <c r="P9"/>
    </row>
    <row r="10" spans="1:16" s="1" customFormat="1" ht="22.5" customHeight="1">
      <c r="A10" s="94" t="s">
        <v>11</v>
      </c>
      <c r="B10" s="95"/>
      <c r="C10" s="95"/>
      <c r="D10" s="95"/>
      <c r="E10" s="95"/>
      <c r="F10" s="96"/>
      <c r="G10" s="81" t="s">
        <v>12</v>
      </c>
      <c r="H10" s="81" t="s">
        <v>5</v>
      </c>
      <c r="I10" s="85">
        <v>0.025</v>
      </c>
      <c r="J10"/>
      <c r="K10"/>
      <c r="L10"/>
      <c r="M10"/>
      <c r="N10"/>
      <c r="O10"/>
      <c r="P10"/>
    </row>
    <row r="11" spans="1:16" s="1" customFormat="1" ht="15" customHeight="1">
      <c r="A11" s="94" t="s">
        <v>138</v>
      </c>
      <c r="B11" s="95"/>
      <c r="C11" s="95"/>
      <c r="D11" s="95"/>
      <c r="E11" s="95"/>
      <c r="F11" s="96"/>
      <c r="G11" s="81" t="s">
        <v>17</v>
      </c>
      <c r="H11" s="81" t="s">
        <v>110</v>
      </c>
      <c r="I11" s="86">
        <v>1.07</v>
      </c>
      <c r="J11"/>
      <c r="K11"/>
      <c r="L11"/>
      <c r="M11"/>
      <c r="N11"/>
      <c r="O11"/>
      <c r="P11"/>
    </row>
    <row r="12" spans="1:16" s="1" customFormat="1" ht="15" customHeight="1">
      <c r="A12" s="97" t="s">
        <v>13</v>
      </c>
      <c r="B12" s="98"/>
      <c r="C12" s="98"/>
      <c r="D12" s="98"/>
      <c r="E12" s="98"/>
      <c r="F12" s="99"/>
      <c r="G12" s="106" t="s">
        <v>12</v>
      </c>
      <c r="H12" s="81" t="s">
        <v>136</v>
      </c>
      <c r="I12" s="81">
        <v>4.05</v>
      </c>
      <c r="J12"/>
      <c r="K12"/>
      <c r="L12"/>
      <c r="M12"/>
      <c r="N12"/>
      <c r="O12"/>
      <c r="P12"/>
    </row>
    <row r="13" spans="1:16" s="1" customFormat="1" ht="15">
      <c r="A13" s="100"/>
      <c r="B13" s="101"/>
      <c r="C13" s="101"/>
      <c r="D13" s="101"/>
      <c r="E13" s="101"/>
      <c r="F13" s="102"/>
      <c r="G13" s="106"/>
      <c r="H13" s="81" t="s">
        <v>14</v>
      </c>
      <c r="I13" s="81">
        <f>I8</f>
        <v>15</v>
      </c>
      <c r="J13"/>
      <c r="K13"/>
      <c r="L13"/>
      <c r="M13"/>
      <c r="N13"/>
      <c r="O13"/>
      <c r="P13"/>
    </row>
    <row r="14" spans="1:16" s="1" customFormat="1" ht="15">
      <c r="A14" s="100"/>
      <c r="B14" s="101"/>
      <c r="C14" s="101"/>
      <c r="D14" s="101"/>
      <c r="E14" s="101"/>
      <c r="F14" s="102"/>
      <c r="G14" s="106"/>
      <c r="H14" s="81" t="s">
        <v>15</v>
      </c>
      <c r="I14" s="81">
        <v>2</v>
      </c>
      <c r="J14"/>
      <c r="K14"/>
      <c r="L14"/>
      <c r="M14"/>
      <c r="N14"/>
      <c r="O14"/>
      <c r="P14"/>
    </row>
    <row r="15" spans="1:16" s="1" customFormat="1" ht="15">
      <c r="A15" s="103"/>
      <c r="B15" s="104"/>
      <c r="C15" s="104"/>
      <c r="D15" s="104"/>
      <c r="E15" s="104"/>
      <c r="F15" s="105"/>
      <c r="G15" s="106"/>
      <c r="H15" s="81" t="s">
        <v>16</v>
      </c>
      <c r="I15" s="87">
        <v>0.06</v>
      </c>
      <c r="J15"/>
      <c r="K15"/>
      <c r="L15"/>
      <c r="M15"/>
      <c r="N15"/>
      <c r="O15"/>
      <c r="P15"/>
    </row>
    <row r="16" spans="1:16" s="1" customFormat="1" ht="11.25" customHeight="1">
      <c r="A16" s="123" t="s">
        <v>180</v>
      </c>
      <c r="B16" s="123"/>
      <c r="C16" s="123"/>
      <c r="D16" s="123"/>
      <c r="E16" s="123"/>
      <c r="F16" s="123"/>
      <c r="G16" s="106" t="s">
        <v>17</v>
      </c>
      <c r="H16" s="81" t="s">
        <v>137</v>
      </c>
      <c r="I16" s="86">
        <v>18.7</v>
      </c>
      <c r="J16"/>
      <c r="K16"/>
      <c r="L16"/>
      <c r="M16"/>
      <c r="N16"/>
      <c r="O16"/>
      <c r="P16"/>
    </row>
    <row r="17" spans="1:9" ht="11.25" customHeight="1">
      <c r="A17" s="123"/>
      <c r="B17" s="123"/>
      <c r="C17" s="123"/>
      <c r="D17" s="123"/>
      <c r="E17" s="123"/>
      <c r="F17" s="123"/>
      <c r="G17" s="106"/>
      <c r="H17" s="81" t="s">
        <v>14</v>
      </c>
      <c r="I17" s="88">
        <f>I8</f>
        <v>15</v>
      </c>
    </row>
    <row r="18" spans="1:9" ht="11.25" customHeight="1">
      <c r="A18" s="123"/>
      <c r="B18" s="123"/>
      <c r="C18" s="123"/>
      <c r="D18" s="123"/>
      <c r="E18" s="123"/>
      <c r="F18" s="123"/>
      <c r="G18" s="106"/>
      <c r="H18" s="81" t="s">
        <v>18</v>
      </c>
      <c r="I18" s="88">
        <v>1</v>
      </c>
    </row>
    <row r="19" spans="1:9" ht="15">
      <c r="A19" s="123"/>
      <c r="B19" s="123"/>
      <c r="C19" s="123"/>
      <c r="D19" s="123"/>
      <c r="E19" s="123"/>
      <c r="F19" s="123"/>
      <c r="G19" s="106"/>
      <c r="H19" s="81" t="s">
        <v>16</v>
      </c>
      <c r="I19" s="87">
        <v>0.2</v>
      </c>
    </row>
    <row r="20" spans="1:9" ht="24" customHeight="1">
      <c r="A20" s="94" t="s">
        <v>159</v>
      </c>
      <c r="B20" s="95"/>
      <c r="C20" s="95"/>
      <c r="D20" s="95"/>
      <c r="E20" s="95"/>
      <c r="F20" s="96"/>
      <c r="G20" s="81" t="s">
        <v>17</v>
      </c>
      <c r="H20" s="78" t="s">
        <v>112</v>
      </c>
      <c r="I20" s="88">
        <f>I8*1.2</f>
        <v>18</v>
      </c>
    </row>
    <row r="21" spans="1:9" ht="15">
      <c r="A21" s="123" t="s">
        <v>135</v>
      </c>
      <c r="B21" s="123"/>
      <c r="C21" s="123"/>
      <c r="D21" s="123"/>
      <c r="E21" s="123"/>
      <c r="F21" s="123"/>
      <c r="G21" s="81"/>
      <c r="H21" s="81" t="s">
        <v>5</v>
      </c>
      <c r="I21" s="87">
        <v>0.2</v>
      </c>
    </row>
    <row r="22" ht="4.5" customHeight="1"/>
    <row r="23" spans="1:9" ht="17.25" customHeight="1">
      <c r="A23" s="124" t="s">
        <v>19</v>
      </c>
      <c r="B23" s="124"/>
      <c r="C23" s="124"/>
      <c r="D23" s="124"/>
      <c r="E23" s="124"/>
      <c r="F23" s="124"/>
      <c r="G23" s="124"/>
      <c r="H23" s="124"/>
      <c r="I23" s="124"/>
    </row>
    <row r="24" spans="1:9" ht="33.75">
      <c r="A24" s="5" t="s">
        <v>20</v>
      </c>
      <c r="B24" s="125" t="s">
        <v>21</v>
      </c>
      <c r="C24" s="126"/>
      <c r="D24" s="126"/>
      <c r="E24" s="126"/>
      <c r="F24" s="126"/>
      <c r="G24" s="127"/>
      <c r="H24" s="5" t="s">
        <v>22</v>
      </c>
      <c r="I24" s="5" t="s">
        <v>23</v>
      </c>
    </row>
    <row r="25" spans="1:9" ht="15" customHeight="1">
      <c r="A25" s="6">
        <v>1</v>
      </c>
      <c r="B25" s="120" t="s">
        <v>24</v>
      </c>
      <c r="C25" s="121"/>
      <c r="D25" s="121"/>
      <c r="E25" s="121"/>
      <c r="F25" s="121"/>
      <c r="G25" s="122"/>
      <c r="H25" s="7">
        <f>I25/$I$31</f>
        <v>0.637419320958284</v>
      </c>
      <c r="I25" s="8">
        <f>I9/H9*I5</f>
        <v>1408</v>
      </c>
    </row>
    <row r="26" spans="1:9" ht="15" customHeight="1">
      <c r="A26" s="6">
        <v>2</v>
      </c>
      <c r="B26" s="120" t="s">
        <v>138</v>
      </c>
      <c r="C26" s="121"/>
      <c r="D26" s="121"/>
      <c r="E26" s="121"/>
      <c r="F26" s="121"/>
      <c r="G26" s="122"/>
      <c r="H26" s="7">
        <f>I26/$I$31</f>
        <v>0.007266037003821348</v>
      </c>
      <c r="I26" s="9">
        <f>I11*I8</f>
        <v>16.05</v>
      </c>
    </row>
    <row r="27" spans="1:9" ht="15" customHeight="1">
      <c r="A27" s="6">
        <v>3</v>
      </c>
      <c r="B27" s="120" t="s">
        <v>153</v>
      </c>
      <c r="C27" s="121"/>
      <c r="D27" s="121"/>
      <c r="E27" s="121"/>
      <c r="F27" s="121"/>
      <c r="G27" s="122"/>
      <c r="H27" s="7">
        <f>I27/$I$31</f>
        <v>0.19340560738863158</v>
      </c>
      <c r="I27" s="8">
        <f>(I25+I26)*I6</f>
        <v>427.215</v>
      </c>
    </row>
    <row r="28" spans="1:9" ht="21" customHeight="1">
      <c r="A28" s="10">
        <v>4</v>
      </c>
      <c r="B28" s="120" t="s">
        <v>152</v>
      </c>
      <c r="C28" s="121"/>
      <c r="D28" s="121"/>
      <c r="E28" s="121"/>
      <c r="F28" s="121"/>
      <c r="G28" s="122"/>
      <c r="H28" s="7">
        <f>I28/$I$31</f>
        <v>0.10169735529834441</v>
      </c>
      <c r="I28" s="8">
        <f>(I9/H9)*(1+I6)*1.5*(I20)</f>
        <v>224.64000000000001</v>
      </c>
    </row>
    <row r="29" spans="1:9" ht="15" customHeight="1">
      <c r="A29" s="10">
        <v>5</v>
      </c>
      <c r="B29" s="120" t="s">
        <v>154</v>
      </c>
      <c r="C29" s="121"/>
      <c r="D29" s="121"/>
      <c r="E29" s="121"/>
      <c r="F29" s="121"/>
      <c r="G29" s="122"/>
      <c r="H29" s="7">
        <f>I29/$I$31</f>
        <v>0.0014532074007642698</v>
      </c>
      <c r="I29" s="8">
        <f>(I26)*I21</f>
        <v>3.2100000000000004</v>
      </c>
    </row>
    <row r="30" spans="1:10" ht="24.75" customHeight="1">
      <c r="A30" s="6">
        <v>6</v>
      </c>
      <c r="B30" s="120" t="s">
        <v>182</v>
      </c>
      <c r="C30" s="121"/>
      <c r="D30" s="121"/>
      <c r="E30" s="121"/>
      <c r="F30" s="121"/>
      <c r="G30" s="122"/>
      <c r="H30" s="7">
        <f>I30/$I$31</f>
        <v>0.058758471950154545</v>
      </c>
      <c r="I30" s="8">
        <f>(I9/220)*1.3*1.3*12</f>
        <v>129.792</v>
      </c>
      <c r="J30" s="62"/>
    </row>
    <row r="31" spans="1:16" s="13" customFormat="1" ht="15" customHeight="1">
      <c r="A31" s="128" t="s">
        <v>155</v>
      </c>
      <c r="B31" s="129"/>
      <c r="C31" s="129"/>
      <c r="D31" s="129"/>
      <c r="E31" s="129"/>
      <c r="F31" s="129"/>
      <c r="G31" s="130"/>
      <c r="H31" s="11">
        <f>SUM(H25:H30)</f>
        <v>1.0000000000000002</v>
      </c>
      <c r="I31" s="12">
        <f>SUM(I25:I30)</f>
        <v>2208.9069999999997</v>
      </c>
      <c r="J31" s="62"/>
      <c r="K31"/>
      <c r="L31"/>
      <c r="M31"/>
      <c r="N31"/>
      <c r="O31"/>
      <c r="P31"/>
    </row>
    <row r="32" spans="1:16" s="13" customFormat="1" ht="15">
      <c r="A32" s="14"/>
      <c r="B32" s="14"/>
      <c r="C32" s="14"/>
      <c r="D32" s="14"/>
      <c r="E32" s="14"/>
      <c r="F32" s="14"/>
      <c r="G32" s="14"/>
      <c r="H32" s="15"/>
      <c r="I32" s="16"/>
      <c r="J32"/>
      <c r="K32"/>
      <c r="L32"/>
      <c r="M32"/>
      <c r="N32"/>
      <c r="O32"/>
      <c r="P32"/>
    </row>
    <row r="33" ht="4.5" customHeight="1"/>
    <row r="34" spans="1:9" ht="33.75" customHeight="1">
      <c r="A34" s="5" t="s">
        <v>25</v>
      </c>
      <c r="B34" s="125" t="s">
        <v>26</v>
      </c>
      <c r="C34" s="126"/>
      <c r="D34" s="126"/>
      <c r="E34" s="126"/>
      <c r="F34" s="126"/>
      <c r="G34" s="127"/>
      <c r="H34" s="5" t="s">
        <v>22</v>
      </c>
      <c r="I34" s="5" t="s">
        <v>23</v>
      </c>
    </row>
    <row r="35" spans="1:9" ht="15" customHeight="1">
      <c r="A35" s="6">
        <v>1</v>
      </c>
      <c r="B35" s="120" t="s">
        <v>113</v>
      </c>
      <c r="C35" s="121"/>
      <c r="D35" s="121"/>
      <c r="E35" s="121"/>
      <c r="F35" s="121"/>
      <c r="G35" s="122"/>
      <c r="H35" s="7">
        <v>0.2</v>
      </c>
      <c r="I35" s="8">
        <f>$I$31*H35</f>
        <v>441.78139999999996</v>
      </c>
    </row>
    <row r="36" spans="1:9" ht="15" customHeight="1">
      <c r="A36" s="6">
        <v>2</v>
      </c>
      <c r="B36" s="120" t="s">
        <v>114</v>
      </c>
      <c r="C36" s="121"/>
      <c r="D36" s="121"/>
      <c r="E36" s="121"/>
      <c r="F36" s="121"/>
      <c r="G36" s="122"/>
      <c r="H36" s="7">
        <v>0.015</v>
      </c>
      <c r="I36" s="8">
        <f>$I$31*H36</f>
        <v>33.133604999999996</v>
      </c>
    </row>
    <row r="37" spans="1:9" ht="15" customHeight="1">
      <c r="A37" s="6">
        <v>3</v>
      </c>
      <c r="B37" s="120" t="s">
        <v>115</v>
      </c>
      <c r="C37" s="121"/>
      <c r="D37" s="121"/>
      <c r="E37" s="121"/>
      <c r="F37" s="121"/>
      <c r="G37" s="122"/>
      <c r="H37" s="7">
        <v>0.01</v>
      </c>
      <c r="I37" s="8">
        <f aca="true" t="shared" si="0" ref="I37:I42">$I$31*H37</f>
        <v>22.089069999999996</v>
      </c>
    </row>
    <row r="38" spans="1:9" ht="15" customHeight="1">
      <c r="A38" s="6">
        <v>4</v>
      </c>
      <c r="B38" s="120" t="s">
        <v>116</v>
      </c>
      <c r="C38" s="121"/>
      <c r="D38" s="121"/>
      <c r="E38" s="121"/>
      <c r="F38" s="121"/>
      <c r="G38" s="122"/>
      <c r="H38" s="7">
        <v>0.002</v>
      </c>
      <c r="I38" s="8">
        <f>$I$31*H38</f>
        <v>4.417814</v>
      </c>
    </row>
    <row r="39" spans="1:9" ht="15" customHeight="1">
      <c r="A39" s="6">
        <v>5</v>
      </c>
      <c r="B39" s="120" t="s">
        <v>117</v>
      </c>
      <c r="C39" s="121"/>
      <c r="D39" s="121"/>
      <c r="E39" s="121"/>
      <c r="F39" s="121"/>
      <c r="G39" s="122"/>
      <c r="H39" s="7">
        <v>0.025</v>
      </c>
      <c r="I39" s="8">
        <f t="shared" si="0"/>
        <v>55.222674999999995</v>
      </c>
    </row>
    <row r="40" spans="1:9" ht="15" customHeight="1">
      <c r="A40" s="6">
        <v>6</v>
      </c>
      <c r="B40" s="120" t="s">
        <v>118</v>
      </c>
      <c r="C40" s="121"/>
      <c r="D40" s="121"/>
      <c r="E40" s="121"/>
      <c r="F40" s="121"/>
      <c r="G40" s="122"/>
      <c r="H40" s="7">
        <v>0.08</v>
      </c>
      <c r="I40" s="8">
        <f>$I$31*H40</f>
        <v>176.71255999999997</v>
      </c>
    </row>
    <row r="41" spans="1:9" ht="15" customHeight="1">
      <c r="A41" s="6">
        <v>7</v>
      </c>
      <c r="B41" s="120" t="s">
        <v>119</v>
      </c>
      <c r="C41" s="121"/>
      <c r="D41" s="121"/>
      <c r="E41" s="121"/>
      <c r="F41" s="121"/>
      <c r="G41" s="122"/>
      <c r="H41" s="7">
        <v>0.03</v>
      </c>
      <c r="I41" s="8">
        <f>$I$31*H41</f>
        <v>66.26720999999999</v>
      </c>
    </row>
    <row r="42" spans="1:9" ht="15" customHeight="1">
      <c r="A42" s="6">
        <v>8</v>
      </c>
      <c r="B42" s="120" t="s">
        <v>120</v>
      </c>
      <c r="C42" s="121"/>
      <c r="D42" s="121"/>
      <c r="E42" s="121"/>
      <c r="F42" s="121"/>
      <c r="G42" s="122"/>
      <c r="H42" s="7">
        <v>0.006</v>
      </c>
      <c r="I42" s="8">
        <f t="shared" si="0"/>
        <v>13.253441999999998</v>
      </c>
    </row>
    <row r="43" spans="1:16" s="13" customFormat="1" ht="15" customHeight="1">
      <c r="A43" s="128" t="s">
        <v>27</v>
      </c>
      <c r="B43" s="129"/>
      <c r="C43" s="129"/>
      <c r="D43" s="129"/>
      <c r="E43" s="129"/>
      <c r="F43" s="129"/>
      <c r="G43" s="130"/>
      <c r="H43" s="11">
        <f>SUM(H35:H42)</f>
        <v>0.3680000000000001</v>
      </c>
      <c r="I43" s="12">
        <f>SUM(I35:I42)</f>
        <v>812.8777759999998</v>
      </c>
      <c r="J43"/>
      <c r="K43"/>
      <c r="L43"/>
      <c r="M43"/>
      <c r="N43"/>
      <c r="O43"/>
      <c r="P43"/>
    </row>
    <row r="44" spans="1:9" ht="15" customHeight="1">
      <c r="A44" s="131" t="s">
        <v>28</v>
      </c>
      <c r="B44" s="131"/>
      <c r="C44" s="131"/>
      <c r="D44" s="131"/>
      <c r="E44" s="131"/>
      <c r="F44" s="131"/>
      <c r="G44" s="131"/>
      <c r="H44" s="131"/>
      <c r="I44" s="131"/>
    </row>
    <row r="45" spans="1:9" ht="33.75" customHeight="1">
      <c r="A45" s="5" t="s">
        <v>29</v>
      </c>
      <c r="B45" s="125" t="s">
        <v>30</v>
      </c>
      <c r="C45" s="126"/>
      <c r="D45" s="126"/>
      <c r="E45" s="126"/>
      <c r="F45" s="126"/>
      <c r="G45" s="127"/>
      <c r="H45" s="5" t="s">
        <v>22</v>
      </c>
      <c r="I45" s="5" t="s">
        <v>23</v>
      </c>
    </row>
    <row r="46" spans="1:9" ht="15" customHeight="1">
      <c r="A46" s="6">
        <v>1</v>
      </c>
      <c r="B46" s="120" t="s">
        <v>139</v>
      </c>
      <c r="C46" s="121"/>
      <c r="D46" s="121"/>
      <c r="E46" s="121"/>
      <c r="F46" s="121"/>
      <c r="G46" s="122"/>
      <c r="H46" s="7">
        <v>0.1111</v>
      </c>
      <c r="I46" s="8">
        <f>$I$31*H46</f>
        <v>245.40956769999997</v>
      </c>
    </row>
    <row r="47" spans="1:9" ht="15" customHeight="1">
      <c r="A47" s="6">
        <v>2</v>
      </c>
      <c r="B47" s="120" t="s">
        <v>140</v>
      </c>
      <c r="C47" s="121"/>
      <c r="D47" s="121"/>
      <c r="E47" s="121"/>
      <c r="F47" s="121"/>
      <c r="G47" s="122"/>
      <c r="H47" s="7">
        <v>0.02047</v>
      </c>
      <c r="I47" s="8">
        <f>$I$31*H47</f>
        <v>45.21632628999999</v>
      </c>
    </row>
    <row r="48" spans="1:9" ht="15" customHeight="1">
      <c r="A48" s="6">
        <v>3</v>
      </c>
      <c r="B48" s="120" t="s">
        <v>141</v>
      </c>
      <c r="C48" s="121"/>
      <c r="D48" s="121"/>
      <c r="E48" s="121"/>
      <c r="F48" s="121"/>
      <c r="G48" s="122"/>
      <c r="H48" s="7">
        <v>0.012123</v>
      </c>
      <c r="I48" s="8">
        <f>$I$31*H48</f>
        <v>26.778579560999997</v>
      </c>
    </row>
    <row r="49" spans="1:9" ht="15" customHeight="1">
      <c r="A49" s="6">
        <v>4</v>
      </c>
      <c r="B49" s="120" t="s">
        <v>142</v>
      </c>
      <c r="C49" s="121"/>
      <c r="D49" s="121"/>
      <c r="E49" s="121"/>
      <c r="F49" s="121"/>
      <c r="G49" s="122"/>
      <c r="H49" s="7">
        <v>0.011436</v>
      </c>
      <c r="I49" s="8">
        <f>$I$31*H49</f>
        <v>25.261060451999995</v>
      </c>
    </row>
    <row r="50" spans="1:9" ht="15" customHeight="1">
      <c r="A50" s="6">
        <v>5</v>
      </c>
      <c r="B50" s="120" t="s">
        <v>143</v>
      </c>
      <c r="C50" s="121"/>
      <c r="D50" s="121"/>
      <c r="E50" s="121"/>
      <c r="F50" s="121"/>
      <c r="G50" s="122"/>
      <c r="H50" s="7">
        <v>0.000174</v>
      </c>
      <c r="I50" s="8">
        <f>$I$31*H50</f>
        <v>0.38434981799999995</v>
      </c>
    </row>
    <row r="51" spans="1:9" ht="15" customHeight="1">
      <c r="A51" s="6">
        <v>6</v>
      </c>
      <c r="B51" s="120" t="s">
        <v>144</v>
      </c>
      <c r="C51" s="121"/>
      <c r="D51" s="121"/>
      <c r="E51" s="121"/>
      <c r="F51" s="121"/>
      <c r="G51" s="122"/>
      <c r="H51" s="7">
        <v>0.000442</v>
      </c>
      <c r="I51" s="8">
        <f>$I$31*H51</f>
        <v>0.9763368939999999</v>
      </c>
    </row>
    <row r="52" spans="1:9" ht="15" customHeight="1">
      <c r="A52" s="6">
        <v>7</v>
      </c>
      <c r="B52" s="120" t="s">
        <v>145</v>
      </c>
      <c r="C52" s="121"/>
      <c r="D52" s="121"/>
      <c r="E52" s="121"/>
      <c r="F52" s="121"/>
      <c r="G52" s="122"/>
      <c r="H52" s="7">
        <v>0.000185</v>
      </c>
      <c r="I52" s="8">
        <f>$I$31*H52</f>
        <v>0.4086477949999999</v>
      </c>
    </row>
    <row r="53" spans="1:9" ht="15" customHeight="1">
      <c r="A53" s="6">
        <v>8</v>
      </c>
      <c r="B53" s="120" t="s">
        <v>146</v>
      </c>
      <c r="C53" s="121"/>
      <c r="D53" s="121"/>
      <c r="E53" s="121"/>
      <c r="F53" s="121"/>
      <c r="G53" s="122"/>
      <c r="H53" s="7">
        <v>0.09079</v>
      </c>
      <c r="I53" s="8">
        <f>$I$31*H53</f>
        <v>200.54666652999995</v>
      </c>
    </row>
    <row r="54" spans="1:16" s="13" customFormat="1" ht="15" customHeight="1">
      <c r="A54" s="128" t="s">
        <v>31</v>
      </c>
      <c r="B54" s="129"/>
      <c r="C54" s="129"/>
      <c r="D54" s="129"/>
      <c r="E54" s="129"/>
      <c r="F54" s="129"/>
      <c r="G54" s="130"/>
      <c r="H54" s="11">
        <f>SUM(H46:H53)</f>
        <v>0.24672</v>
      </c>
      <c r="I54" s="12">
        <f>SUM(I46:I53)</f>
        <v>544.9815350399998</v>
      </c>
      <c r="J54"/>
      <c r="K54"/>
      <c r="L54"/>
      <c r="M54"/>
      <c r="N54"/>
      <c r="O54"/>
      <c r="P54"/>
    </row>
    <row r="55" spans="1:9" ht="11.25" customHeight="1">
      <c r="A55" s="18" t="s">
        <v>32</v>
      </c>
      <c r="B55" s="132" t="s">
        <v>33</v>
      </c>
      <c r="C55" s="132"/>
      <c r="D55" s="132"/>
      <c r="E55" s="132"/>
      <c r="F55" s="132"/>
      <c r="G55" s="132"/>
      <c r="H55" s="132"/>
      <c r="I55" s="132"/>
    </row>
    <row r="56" spans="1:9" ht="15" customHeight="1">
      <c r="A56" s="18" t="s">
        <v>34</v>
      </c>
      <c r="B56" s="133" t="s">
        <v>35</v>
      </c>
      <c r="C56" s="133"/>
      <c r="D56" s="133"/>
      <c r="E56" s="133"/>
      <c r="F56" s="133"/>
      <c r="G56" s="133"/>
      <c r="H56" s="133"/>
      <c r="I56" s="133"/>
    </row>
    <row r="57" spans="1:9" ht="33.75" customHeight="1">
      <c r="A57" s="5" t="s">
        <v>36</v>
      </c>
      <c r="B57" s="125" t="s">
        <v>37</v>
      </c>
      <c r="C57" s="126"/>
      <c r="D57" s="126"/>
      <c r="E57" s="126"/>
      <c r="F57" s="126"/>
      <c r="G57" s="127"/>
      <c r="H57" s="5" t="s">
        <v>22</v>
      </c>
      <c r="I57" s="5" t="s">
        <v>23</v>
      </c>
    </row>
    <row r="58" spans="1:9" ht="15" customHeight="1">
      <c r="A58" s="6">
        <v>1</v>
      </c>
      <c r="B58" s="120" t="s">
        <v>147</v>
      </c>
      <c r="C58" s="121"/>
      <c r="D58" s="121"/>
      <c r="E58" s="121"/>
      <c r="F58" s="121"/>
      <c r="G58" s="122"/>
      <c r="H58" s="7">
        <v>0.023627</v>
      </c>
      <c r="I58" s="8">
        <f>$I$31*H58</f>
        <v>52.18984568899999</v>
      </c>
    </row>
    <row r="59" spans="1:9" ht="15" customHeight="1">
      <c r="A59" s="6">
        <v>2</v>
      </c>
      <c r="B59" s="120" t="s">
        <v>148</v>
      </c>
      <c r="C59" s="121"/>
      <c r="D59" s="121"/>
      <c r="E59" s="121"/>
      <c r="F59" s="121"/>
      <c r="G59" s="122"/>
      <c r="H59" s="7">
        <v>0.001717</v>
      </c>
      <c r="I59" s="8">
        <f>$I$31*H59</f>
        <v>3.7926933189999996</v>
      </c>
    </row>
    <row r="60" spans="1:9" ht="15" customHeight="1">
      <c r="A60" s="6">
        <v>3</v>
      </c>
      <c r="B60" s="120" t="s">
        <v>149</v>
      </c>
      <c r="C60" s="121"/>
      <c r="D60" s="121"/>
      <c r="E60" s="121"/>
      <c r="F60" s="121"/>
      <c r="G60" s="122"/>
      <c r="H60" s="7">
        <v>0.011813</v>
      </c>
      <c r="I60" s="8">
        <f>$I$31*H60</f>
        <v>26.093818391</v>
      </c>
    </row>
    <row r="61" spans="1:16" s="13" customFormat="1" ht="15" customHeight="1">
      <c r="A61" s="128" t="s">
        <v>38</v>
      </c>
      <c r="B61" s="129"/>
      <c r="C61" s="129"/>
      <c r="D61" s="129"/>
      <c r="E61" s="129"/>
      <c r="F61" s="129"/>
      <c r="G61" s="130"/>
      <c r="H61" s="11">
        <f>SUM(H58:H60)</f>
        <v>0.037156999999999996</v>
      </c>
      <c r="I61" s="12">
        <f>SUM(I58:I60)</f>
        <v>82.07635739899999</v>
      </c>
      <c r="J61"/>
      <c r="K61"/>
      <c r="L61"/>
      <c r="M61"/>
      <c r="N61"/>
      <c r="O61"/>
      <c r="P61"/>
    </row>
    <row r="62" ht="4.5" customHeight="1"/>
    <row r="63" spans="1:9" ht="33.75">
      <c r="A63" s="5" t="s">
        <v>39</v>
      </c>
      <c r="B63" s="125" t="s">
        <v>40</v>
      </c>
      <c r="C63" s="126"/>
      <c r="D63" s="126"/>
      <c r="E63" s="126"/>
      <c r="F63" s="126"/>
      <c r="G63" s="127"/>
      <c r="H63" s="5" t="s">
        <v>22</v>
      </c>
      <c r="I63" s="5" t="s">
        <v>23</v>
      </c>
    </row>
    <row r="64" spans="1:9" ht="15" customHeight="1">
      <c r="A64" s="6">
        <v>1</v>
      </c>
      <c r="B64" s="120" t="s">
        <v>150</v>
      </c>
      <c r="C64" s="121"/>
      <c r="D64" s="121"/>
      <c r="E64" s="121"/>
      <c r="F64" s="121"/>
      <c r="G64" s="122"/>
      <c r="H64" s="7">
        <f>(H43*H54)</f>
        <v>0.09079296000000002</v>
      </c>
      <c r="I64" s="8">
        <f>I31*H64</f>
        <v>200.55320489472</v>
      </c>
    </row>
    <row r="65" spans="1:16" s="13" customFormat="1" ht="15" customHeight="1">
      <c r="A65" s="128" t="s">
        <v>41</v>
      </c>
      <c r="B65" s="129"/>
      <c r="C65" s="129"/>
      <c r="D65" s="129"/>
      <c r="E65" s="129"/>
      <c r="F65" s="129"/>
      <c r="G65" s="130"/>
      <c r="H65" s="11">
        <f>SUM(H64:H64)</f>
        <v>0.09079296000000002</v>
      </c>
      <c r="I65" s="12">
        <f>I64</f>
        <v>200.55320489472</v>
      </c>
      <c r="J65"/>
      <c r="K65"/>
      <c r="L65"/>
      <c r="M65"/>
      <c r="N65"/>
      <c r="O65"/>
      <c r="P65"/>
    </row>
    <row r="66" ht="4.5" customHeight="1"/>
    <row r="67" spans="1:16" s="13" customFormat="1" ht="15">
      <c r="A67" s="134" t="s">
        <v>42</v>
      </c>
      <c r="B67" s="134"/>
      <c r="C67" s="134"/>
      <c r="D67" s="134"/>
      <c r="E67" s="134"/>
      <c r="F67" s="134"/>
      <c r="G67" s="134"/>
      <c r="H67" s="19">
        <f>H43+H54+H61+H65</f>
        <v>0.7426699600000002</v>
      </c>
      <c r="I67" s="20">
        <f>I43+I54+I61+I65</f>
        <v>1640.4888733337198</v>
      </c>
      <c r="J67"/>
      <c r="K67"/>
      <c r="L67"/>
      <c r="M67"/>
      <c r="N67"/>
      <c r="O67"/>
      <c r="P67"/>
    </row>
    <row r="68" ht="4.5" customHeight="1"/>
    <row r="69" spans="1:9" ht="33.75">
      <c r="A69" s="5" t="s">
        <v>43</v>
      </c>
      <c r="B69" s="125" t="s">
        <v>44</v>
      </c>
      <c r="C69" s="126"/>
      <c r="D69" s="126"/>
      <c r="E69" s="126"/>
      <c r="F69" s="126"/>
      <c r="G69" s="127"/>
      <c r="H69" s="5" t="s">
        <v>22</v>
      </c>
      <c r="I69" s="5" t="s">
        <v>23</v>
      </c>
    </row>
    <row r="70" spans="1:9" ht="15" customHeight="1">
      <c r="A70" s="21">
        <v>1</v>
      </c>
      <c r="B70" s="120" t="s">
        <v>151</v>
      </c>
      <c r="C70" s="121"/>
      <c r="D70" s="121"/>
      <c r="E70" s="121"/>
      <c r="F70" s="121"/>
      <c r="G70" s="122"/>
      <c r="H70" s="7">
        <f>I70/$I$31</f>
        <v>0.10158870427772651</v>
      </c>
      <c r="I70" s="8">
        <f>I81</f>
        <v>224.4</v>
      </c>
    </row>
    <row r="71" spans="1:9" ht="15" customHeight="1">
      <c r="A71" s="21">
        <v>2</v>
      </c>
      <c r="B71" s="120" t="s">
        <v>45</v>
      </c>
      <c r="C71" s="121"/>
      <c r="D71" s="121"/>
      <c r="E71" s="121"/>
      <c r="F71" s="121"/>
      <c r="G71" s="122"/>
      <c r="H71" s="7">
        <f>I71/$I$31</f>
        <v>0.01675941993030943</v>
      </c>
      <c r="I71" s="8">
        <f>I77</f>
        <v>37.02000000000001</v>
      </c>
    </row>
    <row r="72" spans="1:9" ht="15" customHeight="1">
      <c r="A72" s="6">
        <v>3</v>
      </c>
      <c r="B72" s="120" t="s">
        <v>46</v>
      </c>
      <c r="C72" s="121"/>
      <c r="D72" s="121"/>
      <c r="E72" s="121"/>
      <c r="F72" s="121"/>
      <c r="G72" s="122"/>
      <c r="H72" s="7">
        <f>I72/$I$31</f>
        <v>0</v>
      </c>
      <c r="I72" s="8">
        <v>0</v>
      </c>
    </row>
    <row r="73" spans="1:9" ht="15" customHeight="1">
      <c r="A73" s="128" t="s">
        <v>47</v>
      </c>
      <c r="B73" s="129"/>
      <c r="C73" s="129"/>
      <c r="D73" s="129"/>
      <c r="E73" s="129"/>
      <c r="F73" s="129"/>
      <c r="G73" s="130"/>
      <c r="H73" s="11">
        <f>H70+H71+H72</f>
        <v>0.11834812420803595</v>
      </c>
      <c r="I73" s="12">
        <f>SUM(I70:I72)</f>
        <v>261.42</v>
      </c>
    </row>
    <row r="74" spans="1:9" ht="4.5" customHeight="1">
      <c r="A74" s="14"/>
      <c r="B74" s="14"/>
      <c r="C74" s="14"/>
      <c r="D74" s="14"/>
      <c r="E74" s="14"/>
      <c r="F74" s="14"/>
      <c r="G74" s="14"/>
      <c r="H74" s="15"/>
      <c r="I74" s="16"/>
    </row>
    <row r="75" spans="1:9" ht="15" customHeight="1">
      <c r="A75" s="137" t="s">
        <v>48</v>
      </c>
      <c r="B75" s="137"/>
      <c r="C75" s="137"/>
      <c r="D75" s="137"/>
      <c r="E75" s="137"/>
      <c r="F75" s="137"/>
      <c r="G75" s="137"/>
      <c r="H75" s="137"/>
      <c r="I75" s="137"/>
    </row>
    <row r="76" spans="1:9" ht="24" customHeight="1">
      <c r="A76" s="123" t="s">
        <v>49</v>
      </c>
      <c r="B76" s="123"/>
      <c r="C76" s="6" t="s">
        <v>50</v>
      </c>
      <c r="D76" s="6" t="s">
        <v>51</v>
      </c>
      <c r="E76" s="6" t="s">
        <v>52</v>
      </c>
      <c r="F76" s="6" t="s">
        <v>53</v>
      </c>
      <c r="G76" s="6" t="s">
        <v>54</v>
      </c>
      <c r="H76" s="7" t="s">
        <v>55</v>
      </c>
      <c r="I76" s="8" t="s">
        <v>56</v>
      </c>
    </row>
    <row r="77" spans="1:9" ht="15" customHeight="1">
      <c r="A77" s="123">
        <f>I12</f>
        <v>4.05</v>
      </c>
      <c r="B77" s="123"/>
      <c r="C77" s="6">
        <f>I13</f>
        <v>15</v>
      </c>
      <c r="D77" s="6">
        <f>I14</f>
        <v>2</v>
      </c>
      <c r="E77" s="22">
        <f>A77*C77*D77</f>
        <v>121.5</v>
      </c>
      <c r="F77" s="8">
        <f>I25</f>
        <v>1408</v>
      </c>
      <c r="G77" s="23">
        <f>I15</f>
        <v>0.06</v>
      </c>
      <c r="H77" s="22">
        <f>F77*G77</f>
        <v>84.47999999999999</v>
      </c>
      <c r="I77" s="8">
        <f>(IF(H77&gt;=E77,0,E77-H77))</f>
        <v>37.02000000000001</v>
      </c>
    </row>
    <row r="78" spans="1:9" ht="4.5" customHeight="1">
      <c r="A78" s="24"/>
      <c r="B78" s="24"/>
      <c r="C78" s="24"/>
      <c r="D78" s="24"/>
      <c r="E78" s="25"/>
      <c r="F78" s="25"/>
      <c r="G78" s="26"/>
      <c r="H78" s="25"/>
      <c r="I78" s="27"/>
    </row>
    <row r="79" spans="1:9" ht="15" customHeight="1">
      <c r="A79" s="137" t="s">
        <v>57</v>
      </c>
      <c r="B79" s="137"/>
      <c r="C79" s="137"/>
      <c r="D79" s="137"/>
      <c r="E79" s="137"/>
      <c r="F79" s="137"/>
      <c r="G79" s="137"/>
      <c r="H79" s="137"/>
      <c r="I79" s="137"/>
    </row>
    <row r="80" spans="1:9" ht="26.25" customHeight="1">
      <c r="A80" s="123" t="s">
        <v>49</v>
      </c>
      <c r="B80" s="123"/>
      <c r="C80" s="6" t="s">
        <v>58</v>
      </c>
      <c r="D80" s="6" t="s">
        <v>51</v>
      </c>
      <c r="E80" s="6" t="s">
        <v>52</v>
      </c>
      <c r="F80" s="6" t="s">
        <v>53</v>
      </c>
      <c r="G80" s="6" t="s">
        <v>54</v>
      </c>
      <c r="H80" s="7" t="str">
        <f>H76</f>
        <v>Valor desconto</v>
      </c>
      <c r="I80" s="8" t="s">
        <v>56</v>
      </c>
    </row>
    <row r="81" spans="1:9" ht="15" customHeight="1">
      <c r="A81" s="135">
        <f>I16</f>
        <v>18.7</v>
      </c>
      <c r="B81" s="135"/>
      <c r="C81" s="6">
        <f>I17</f>
        <v>15</v>
      </c>
      <c r="D81" s="6">
        <f>I18</f>
        <v>1</v>
      </c>
      <c r="E81" s="22">
        <f>A81*C81*D81</f>
        <v>280.5</v>
      </c>
      <c r="F81" s="22">
        <f>E81</f>
        <v>280.5</v>
      </c>
      <c r="G81" s="23">
        <f>I19</f>
        <v>0.2</v>
      </c>
      <c r="H81" s="22">
        <f>F81*G81</f>
        <v>56.1</v>
      </c>
      <c r="I81" s="8">
        <f>(IF(H81&gt;=E81,0,E81-H81))</f>
        <v>224.4</v>
      </c>
    </row>
    <row r="82" ht="4.5" customHeight="1"/>
    <row r="83" spans="1:9" ht="15">
      <c r="A83" s="136" t="s">
        <v>133</v>
      </c>
      <c r="B83" s="136"/>
      <c r="C83" s="136"/>
      <c r="D83" s="136"/>
      <c r="E83" s="136"/>
      <c r="F83" s="136"/>
      <c r="G83" s="136"/>
      <c r="H83" s="29">
        <f>H31+H67+H73</f>
        <v>1.8610180842080364</v>
      </c>
      <c r="I83" s="30">
        <f>I31+I67+I73</f>
        <v>4110.8158733337195</v>
      </c>
    </row>
    <row r="84" spans="1:16" s="34" customFormat="1" ht="4.5" customHeight="1">
      <c r="A84" s="31"/>
      <c r="B84" s="31"/>
      <c r="C84" s="31"/>
      <c r="D84" s="31"/>
      <c r="E84" s="31"/>
      <c r="F84" s="31"/>
      <c r="G84" s="31"/>
      <c r="H84" s="32"/>
      <c r="I84" s="33"/>
      <c r="J84"/>
      <c r="K84"/>
      <c r="L84"/>
      <c r="M84"/>
      <c r="N84"/>
      <c r="O84"/>
      <c r="P84"/>
    </row>
    <row r="85" spans="1:9" ht="15">
      <c r="A85" s="124" t="s">
        <v>59</v>
      </c>
      <c r="B85" s="124"/>
      <c r="C85" s="124"/>
      <c r="D85" s="124"/>
      <c r="E85" s="124"/>
      <c r="F85" s="124"/>
      <c r="G85" s="124"/>
      <c r="H85" s="124"/>
      <c r="I85" s="124"/>
    </row>
    <row r="86" spans="1:9" ht="33.75">
      <c r="A86" s="5" t="s">
        <v>20</v>
      </c>
      <c r="B86" s="125" t="s">
        <v>60</v>
      </c>
      <c r="C86" s="126"/>
      <c r="D86" s="126"/>
      <c r="E86" s="126"/>
      <c r="F86" s="126"/>
      <c r="G86" s="127"/>
      <c r="H86" s="5" t="s">
        <v>22</v>
      </c>
      <c r="I86" s="5" t="s">
        <v>23</v>
      </c>
    </row>
    <row r="87" spans="1:9" ht="15" customHeight="1">
      <c r="A87" s="6">
        <v>1</v>
      </c>
      <c r="B87" s="120" t="s">
        <v>61</v>
      </c>
      <c r="C87" s="121"/>
      <c r="D87" s="121"/>
      <c r="E87" s="121"/>
      <c r="F87" s="121"/>
      <c r="G87" s="122"/>
      <c r="H87" s="7">
        <f>I87/$I$98</f>
        <v>0</v>
      </c>
      <c r="I87" s="8">
        <v>0</v>
      </c>
    </row>
    <row r="88" spans="1:9" ht="15" customHeight="1">
      <c r="A88" s="6">
        <v>2</v>
      </c>
      <c r="B88" s="144" t="s">
        <v>123</v>
      </c>
      <c r="C88" s="145"/>
      <c r="D88" s="145"/>
      <c r="E88" s="145"/>
      <c r="F88" s="145"/>
      <c r="G88" s="146"/>
      <c r="H88" s="7">
        <f>I88/$I$98</f>
        <v>0</v>
      </c>
      <c r="I88" s="8">
        <f>IF(F96=10%,G96,0)</f>
        <v>0</v>
      </c>
    </row>
    <row r="89" spans="1:9" ht="15" customHeight="1">
      <c r="A89" s="6">
        <v>3</v>
      </c>
      <c r="B89" s="120" t="s">
        <v>62</v>
      </c>
      <c r="C89" s="121"/>
      <c r="D89" s="121"/>
      <c r="E89" s="121"/>
      <c r="F89" s="121"/>
      <c r="G89" s="122"/>
      <c r="H89" s="7">
        <f>I89/$I$98</f>
        <v>0</v>
      </c>
      <c r="I89" s="8">
        <v>0</v>
      </c>
    </row>
    <row r="90" spans="1:9" ht="15" customHeight="1">
      <c r="A90" s="6">
        <v>4</v>
      </c>
      <c r="B90" s="147" t="s">
        <v>124</v>
      </c>
      <c r="C90" s="148"/>
      <c r="D90" s="148"/>
      <c r="E90" s="148"/>
      <c r="F90" s="148"/>
      <c r="G90" s="149"/>
      <c r="H90" s="7">
        <f>I90/$I$98</f>
        <v>0</v>
      </c>
      <c r="I90" s="8">
        <v>0</v>
      </c>
    </row>
    <row r="91" spans="1:9" ht="15" customHeight="1">
      <c r="A91" s="6">
        <v>5</v>
      </c>
      <c r="B91" s="120" t="s">
        <v>63</v>
      </c>
      <c r="C91" s="121"/>
      <c r="D91" s="121"/>
      <c r="E91" s="121"/>
      <c r="F91" s="121"/>
      <c r="G91" s="122"/>
      <c r="H91" s="7">
        <f>I91/$I$98</f>
        <v>0</v>
      </c>
      <c r="I91" s="8">
        <v>0</v>
      </c>
    </row>
    <row r="92" spans="1:9" ht="15" customHeight="1">
      <c r="A92" s="6">
        <v>6</v>
      </c>
      <c r="B92" s="120" t="s">
        <v>46</v>
      </c>
      <c r="C92" s="121"/>
      <c r="D92" s="121"/>
      <c r="E92" s="121"/>
      <c r="F92" s="121"/>
      <c r="G92" s="122"/>
      <c r="H92" s="7">
        <f>I92/$I$98</f>
        <v>0</v>
      </c>
      <c r="I92" s="8">
        <v>0</v>
      </c>
    </row>
    <row r="93" spans="1:9" ht="15" customHeight="1">
      <c r="A93" s="128" t="s">
        <v>64</v>
      </c>
      <c r="B93" s="129"/>
      <c r="C93" s="129"/>
      <c r="D93" s="129"/>
      <c r="E93" s="129"/>
      <c r="F93" s="129"/>
      <c r="G93" s="130"/>
      <c r="H93" s="11">
        <f>H87+H88+H89+H90+H91+H92</f>
        <v>0</v>
      </c>
      <c r="I93" s="17">
        <f>I87+I88+I89+I90+I91+I92</f>
        <v>0</v>
      </c>
    </row>
    <row r="94" spans="1:19" ht="30" customHeight="1">
      <c r="A94"/>
      <c r="B94" s="132" t="s">
        <v>125</v>
      </c>
      <c r="C94" s="132"/>
      <c r="D94" s="132"/>
      <c r="E94" s="132"/>
      <c r="F94" s="132"/>
      <c r="G94" s="132"/>
      <c r="H94" s="132"/>
      <c r="I94" s="132"/>
      <c r="Q94"/>
      <c r="R94"/>
      <c r="S94"/>
    </row>
    <row r="95" spans="1:9" ht="5.25" customHeight="1">
      <c r="A95"/>
      <c r="B95"/>
      <c r="C95"/>
      <c r="D95"/>
      <c r="E95"/>
      <c r="F95"/>
      <c r="G95"/>
      <c r="H95"/>
      <c r="I95"/>
    </row>
    <row r="96" spans="1:19" ht="48.75" customHeight="1">
      <c r="A96" s="138" t="s">
        <v>126</v>
      </c>
      <c r="B96" s="139"/>
      <c r="C96" s="139"/>
      <c r="D96" s="139"/>
      <c r="E96" s="140"/>
      <c r="F96" s="35">
        <v>0.2</v>
      </c>
      <c r="G96" s="36">
        <f>I98*F96</f>
        <v>814.759174666744</v>
      </c>
      <c r="H96" s="37" t="s">
        <v>65</v>
      </c>
      <c r="I96" s="52">
        <f>I71</f>
        <v>37.02000000000001</v>
      </c>
      <c r="Q96"/>
      <c r="R96"/>
      <c r="S96"/>
    </row>
    <row r="97" spans="1:16" s="40" customFormat="1" ht="22.5" customHeight="1">
      <c r="A97" s="141" t="s">
        <v>66</v>
      </c>
      <c r="B97" s="141"/>
      <c r="C97" s="38" t="s">
        <v>67</v>
      </c>
      <c r="D97" s="38" t="s">
        <v>68</v>
      </c>
      <c r="E97" s="38" t="s">
        <v>69</v>
      </c>
      <c r="F97" s="38" t="s">
        <v>70</v>
      </c>
      <c r="G97" s="53" t="s">
        <v>134</v>
      </c>
      <c r="H97" s="37" t="s">
        <v>71</v>
      </c>
      <c r="I97" s="39" t="s">
        <v>72</v>
      </c>
      <c r="J97"/>
      <c r="K97"/>
      <c r="L97"/>
      <c r="M97"/>
      <c r="N97"/>
      <c r="O97"/>
      <c r="P97"/>
    </row>
    <row r="98" spans="1:9" ht="16.5" customHeight="1">
      <c r="A98" s="142">
        <f>I31</f>
        <v>2208.9069999999997</v>
      </c>
      <c r="B98" s="142"/>
      <c r="C98" s="9">
        <f>I43</f>
        <v>812.8777759999998</v>
      </c>
      <c r="D98" s="9">
        <f>I54</f>
        <v>544.9815350399998</v>
      </c>
      <c r="E98" s="9">
        <f>I61</f>
        <v>82.07635739899999</v>
      </c>
      <c r="F98" s="9">
        <f>I65</f>
        <v>200.55320489472</v>
      </c>
      <c r="G98" s="9">
        <f>I73</f>
        <v>261.42</v>
      </c>
      <c r="H98" s="9">
        <f>A98+C98+D98+E98+F98+G98</f>
        <v>4110.8158733337195</v>
      </c>
      <c r="I98" s="9">
        <f>H98-I96</f>
        <v>4073.7958733337196</v>
      </c>
    </row>
    <row r="99" spans="1:9" ht="4.5" customHeight="1">
      <c r="A99" s="18"/>
      <c r="B99" s="143"/>
      <c r="C99" s="143"/>
      <c r="D99" s="143"/>
      <c r="E99" s="143"/>
      <c r="F99" s="143"/>
      <c r="G99" s="143"/>
      <c r="H99" s="143"/>
      <c r="I99" s="143"/>
    </row>
    <row r="100" spans="1:9" ht="33.75">
      <c r="A100" s="5" t="s">
        <v>25</v>
      </c>
      <c r="B100" s="125" t="s">
        <v>73</v>
      </c>
      <c r="C100" s="126"/>
      <c r="D100" s="126"/>
      <c r="E100" s="126"/>
      <c r="F100" s="126"/>
      <c r="G100" s="127"/>
      <c r="H100" s="5" t="s">
        <v>22</v>
      </c>
      <c r="I100" s="5" t="s">
        <v>23</v>
      </c>
    </row>
    <row r="101" spans="1:9" ht="15" customHeight="1">
      <c r="A101" s="6">
        <v>1</v>
      </c>
      <c r="B101" s="120" t="s">
        <v>74</v>
      </c>
      <c r="C101" s="121"/>
      <c r="D101" s="121"/>
      <c r="E101" s="121"/>
      <c r="F101" s="121"/>
      <c r="G101" s="122"/>
      <c r="H101" s="7">
        <f>I101/$I$98</f>
        <v>0</v>
      </c>
      <c r="I101" s="8">
        <v>0</v>
      </c>
    </row>
    <row r="102" spans="1:9" ht="15" customHeight="1">
      <c r="A102" s="6">
        <v>2</v>
      </c>
      <c r="B102" s="120" t="s">
        <v>75</v>
      </c>
      <c r="C102" s="121"/>
      <c r="D102" s="121"/>
      <c r="E102" s="121"/>
      <c r="F102" s="121"/>
      <c r="G102" s="122"/>
      <c r="H102" s="7">
        <f>I102/$I$98</f>
        <v>0</v>
      </c>
      <c r="I102" s="8">
        <v>0</v>
      </c>
    </row>
    <row r="103" spans="1:9" ht="15" customHeight="1">
      <c r="A103" s="128" t="s">
        <v>76</v>
      </c>
      <c r="B103" s="129"/>
      <c r="C103" s="129"/>
      <c r="D103" s="129"/>
      <c r="E103" s="129"/>
      <c r="F103" s="129"/>
      <c r="G103" s="130"/>
      <c r="H103" s="11">
        <f>H101+H102</f>
        <v>0</v>
      </c>
      <c r="I103" s="12">
        <f>I101+I102</f>
        <v>0</v>
      </c>
    </row>
    <row r="104" ht="4.5" customHeight="1"/>
    <row r="105" spans="1:9" ht="33.75">
      <c r="A105" s="5" t="s">
        <v>29</v>
      </c>
      <c r="B105" s="125" t="s">
        <v>77</v>
      </c>
      <c r="C105" s="126"/>
      <c r="D105" s="126"/>
      <c r="E105" s="126"/>
      <c r="F105" s="126"/>
      <c r="G105" s="127"/>
      <c r="H105" s="5" t="s">
        <v>22</v>
      </c>
      <c r="I105" s="5" t="s">
        <v>23</v>
      </c>
    </row>
    <row r="106" spans="1:9" ht="15" customHeight="1">
      <c r="A106" s="6">
        <v>1</v>
      </c>
      <c r="B106" s="120" t="s">
        <v>77</v>
      </c>
      <c r="C106" s="121"/>
      <c r="D106" s="121"/>
      <c r="E106" s="121"/>
      <c r="F106" s="121"/>
      <c r="G106" s="122"/>
      <c r="H106" s="7">
        <f>I106/I98</f>
        <v>0</v>
      </c>
      <c r="I106" s="8">
        <v>0</v>
      </c>
    </row>
    <row r="107" spans="1:9" ht="15" customHeight="1">
      <c r="A107" s="128" t="s">
        <v>76</v>
      </c>
      <c r="B107" s="129"/>
      <c r="C107" s="129"/>
      <c r="D107" s="129"/>
      <c r="E107" s="129"/>
      <c r="F107" s="129"/>
      <c r="G107" s="130"/>
      <c r="H107" s="11">
        <f>H106</f>
        <v>0</v>
      </c>
      <c r="I107" s="12">
        <f>I106</f>
        <v>0</v>
      </c>
    </row>
    <row r="108" spans="1:9" ht="4.5" customHeight="1">
      <c r="A108" s="14"/>
      <c r="B108" s="14"/>
      <c r="C108" s="14"/>
      <c r="D108" s="14"/>
      <c r="E108" s="14"/>
      <c r="F108" s="14"/>
      <c r="G108" s="14"/>
      <c r="H108" s="15"/>
      <c r="I108" s="16"/>
    </row>
    <row r="109" spans="1:9" ht="34.5" customHeight="1">
      <c r="A109" s="150" t="s">
        <v>78</v>
      </c>
      <c r="B109" s="150"/>
      <c r="C109" s="150"/>
      <c r="D109" s="150"/>
      <c r="E109" s="150"/>
      <c r="F109" s="35">
        <v>0.18</v>
      </c>
      <c r="G109" s="36">
        <f>I111*F109</f>
        <v>733.2832572000694</v>
      </c>
      <c r="H109" s="37" t="s">
        <v>65</v>
      </c>
      <c r="I109" s="54">
        <f>I71</f>
        <v>37.02000000000001</v>
      </c>
    </row>
    <row r="110" spans="1:16" s="40" customFormat="1" ht="16.5" customHeight="1">
      <c r="A110" s="141" t="s">
        <v>66</v>
      </c>
      <c r="B110" s="141"/>
      <c r="C110" s="38" t="s">
        <v>67</v>
      </c>
      <c r="D110" s="38" t="s">
        <v>68</v>
      </c>
      <c r="E110" s="38" t="s">
        <v>69</v>
      </c>
      <c r="F110" s="38" t="s">
        <v>70</v>
      </c>
      <c r="G110" s="53" t="s">
        <v>134</v>
      </c>
      <c r="H110" s="37" t="s">
        <v>71</v>
      </c>
      <c r="I110" s="39" t="s">
        <v>72</v>
      </c>
      <c r="J110"/>
      <c r="K110"/>
      <c r="L110"/>
      <c r="M110"/>
      <c r="N110"/>
      <c r="O110"/>
      <c r="P110"/>
    </row>
    <row r="111" spans="1:9" ht="16.5" customHeight="1">
      <c r="A111" s="142">
        <f>I31</f>
        <v>2208.9069999999997</v>
      </c>
      <c r="B111" s="142"/>
      <c r="C111" s="9">
        <f>I43</f>
        <v>812.8777759999998</v>
      </c>
      <c r="D111" s="9">
        <f>I54</f>
        <v>544.9815350399998</v>
      </c>
      <c r="E111" s="9">
        <f>I61</f>
        <v>82.07635739899999</v>
      </c>
      <c r="F111" s="9">
        <f>I65</f>
        <v>200.55320489472</v>
      </c>
      <c r="G111" s="9">
        <f>I73</f>
        <v>261.42</v>
      </c>
      <c r="H111" s="9">
        <f>A111+C111+D111+E111+F111+G111</f>
        <v>4110.8158733337195</v>
      </c>
      <c r="I111" s="9">
        <f>H111-I109</f>
        <v>4073.7958733337196</v>
      </c>
    </row>
    <row r="112" ht="4.5" customHeight="1"/>
    <row r="113" spans="1:9" ht="15">
      <c r="A113" s="136" t="s">
        <v>79</v>
      </c>
      <c r="B113" s="136"/>
      <c r="C113" s="136"/>
      <c r="D113" s="136"/>
      <c r="E113" s="136"/>
      <c r="F113" s="136"/>
      <c r="G113" s="136"/>
      <c r="H113" s="29">
        <f>H93+H103+H107</f>
        <v>0</v>
      </c>
      <c r="I113" s="30">
        <f>I93+I103+I107</f>
        <v>0</v>
      </c>
    </row>
    <row r="114" ht="4.5" customHeight="1"/>
    <row r="115" spans="1:9" ht="15">
      <c r="A115" s="124" t="s">
        <v>80</v>
      </c>
      <c r="B115" s="124"/>
      <c r="C115" s="124"/>
      <c r="D115" s="124"/>
      <c r="E115" s="124"/>
      <c r="F115" s="124"/>
      <c r="G115" s="124"/>
      <c r="H115" s="124"/>
      <c r="I115" s="124"/>
    </row>
    <row r="116" spans="1:9" ht="33.75">
      <c r="A116" s="5" t="s">
        <v>20</v>
      </c>
      <c r="B116" s="125" t="s">
        <v>81</v>
      </c>
      <c r="C116" s="126"/>
      <c r="D116" s="126"/>
      <c r="E116" s="126"/>
      <c r="F116" s="126"/>
      <c r="G116" s="127"/>
      <c r="H116" s="5" t="s">
        <v>22</v>
      </c>
      <c r="I116" s="5" t="s">
        <v>23</v>
      </c>
    </row>
    <row r="117" spans="1:9" ht="15" customHeight="1">
      <c r="A117" s="6">
        <v>1</v>
      </c>
      <c r="B117" s="120" t="s">
        <v>82</v>
      </c>
      <c r="C117" s="121"/>
      <c r="D117" s="121"/>
      <c r="E117" s="121"/>
      <c r="F117" s="121"/>
      <c r="G117" s="122"/>
      <c r="H117" s="7">
        <f>I117/$I$83</f>
        <v>0.006925945657964837</v>
      </c>
      <c r="I117" s="8">
        <f>($D$127/$E$129)*H127</f>
        <v>28.471287348608605</v>
      </c>
    </row>
    <row r="118" spans="1:9" ht="15" customHeight="1">
      <c r="A118" s="6">
        <v>2</v>
      </c>
      <c r="B118" s="120" t="s">
        <v>83</v>
      </c>
      <c r="C118" s="121"/>
      <c r="D118" s="121"/>
      <c r="E118" s="121"/>
      <c r="F118" s="121"/>
      <c r="G118" s="122"/>
      <c r="H118" s="7">
        <f>I118/$I$83</f>
        <v>0.031965903036760786</v>
      </c>
      <c r="I118" s="8">
        <f>($D$127/$E$129)*H128</f>
        <v>131.4059416089628</v>
      </c>
    </row>
    <row r="119" spans="1:9" ht="15" customHeight="1">
      <c r="A119" s="6">
        <v>3</v>
      </c>
      <c r="B119" s="120" t="s">
        <v>11</v>
      </c>
      <c r="C119" s="121"/>
      <c r="D119" s="121"/>
      <c r="E119" s="121"/>
      <c r="F119" s="121"/>
      <c r="G119" s="122"/>
      <c r="H119" s="7">
        <f>I119/$I$83</f>
        <v>0.026638252530633993</v>
      </c>
      <c r="I119" s="8">
        <f>($D$127/$E$129)*H129</f>
        <v>109.50495134080234</v>
      </c>
    </row>
    <row r="120" spans="1:9" ht="15" customHeight="1">
      <c r="A120" s="6">
        <v>4</v>
      </c>
      <c r="B120" s="120" t="s">
        <v>84</v>
      </c>
      <c r="C120" s="121"/>
      <c r="D120" s="121"/>
      <c r="E120" s="121"/>
      <c r="F120" s="121"/>
      <c r="G120" s="122"/>
      <c r="H120" s="7">
        <f>I120/$I$83</f>
        <v>0</v>
      </c>
      <c r="I120" s="8">
        <v>0</v>
      </c>
    </row>
    <row r="121" spans="1:9" ht="15" customHeight="1">
      <c r="A121" s="6">
        <v>5</v>
      </c>
      <c r="B121" s="120" t="s">
        <v>46</v>
      </c>
      <c r="C121" s="121"/>
      <c r="D121" s="121"/>
      <c r="E121" s="121"/>
      <c r="F121" s="121"/>
      <c r="G121" s="122"/>
      <c r="H121" s="7">
        <f>I121/$I$83</f>
        <v>0</v>
      </c>
      <c r="I121" s="8">
        <v>0</v>
      </c>
    </row>
    <row r="122" spans="1:9" ht="15" customHeight="1">
      <c r="A122" s="128" t="s">
        <v>85</v>
      </c>
      <c r="B122" s="129"/>
      <c r="C122" s="129"/>
      <c r="D122" s="129"/>
      <c r="E122" s="129"/>
      <c r="F122" s="129"/>
      <c r="G122" s="130"/>
      <c r="H122" s="11">
        <f>SUM(H117:H121)</f>
        <v>0.06553010122535961</v>
      </c>
      <c r="I122" s="12">
        <f>SUM(I117:I121)</f>
        <v>269.3821802983737</v>
      </c>
    </row>
    <row r="123" spans="1:9" ht="11.25" customHeight="1">
      <c r="A123" s="18" t="s">
        <v>86</v>
      </c>
      <c r="B123" s="132" t="s">
        <v>87</v>
      </c>
      <c r="C123" s="132"/>
      <c r="D123" s="132"/>
      <c r="E123" s="132"/>
      <c r="F123" s="132"/>
      <c r="G123" s="132"/>
      <c r="H123" s="132"/>
      <c r="I123" s="132"/>
    </row>
    <row r="124" spans="1:9" ht="21.75" customHeight="1">
      <c r="A124" s="18" t="s">
        <v>88</v>
      </c>
      <c r="B124" s="151" t="s">
        <v>89</v>
      </c>
      <c r="C124" s="151"/>
      <c r="D124" s="151"/>
      <c r="E124" s="151"/>
      <c r="F124" s="151"/>
      <c r="G124" s="151"/>
      <c r="H124" s="151"/>
      <c r="I124" s="151"/>
    </row>
    <row r="125" spans="1:9" ht="13.5" customHeight="1">
      <c r="A125" s="152" t="s">
        <v>90</v>
      </c>
      <c r="B125" s="152"/>
      <c r="C125" s="152"/>
      <c r="D125" s="152"/>
      <c r="E125" s="152"/>
      <c r="F125" s="152"/>
      <c r="G125" s="152"/>
      <c r="H125" s="152"/>
      <c r="I125" s="152"/>
    </row>
    <row r="126" spans="1:9" ht="13.5" customHeight="1">
      <c r="A126" s="153" t="s">
        <v>91</v>
      </c>
      <c r="B126" s="153"/>
      <c r="C126" s="6" t="s">
        <v>92</v>
      </c>
      <c r="D126" s="123" t="s">
        <v>93</v>
      </c>
      <c r="E126" s="94"/>
      <c r="F126" s="6" t="s">
        <v>94</v>
      </c>
      <c r="G126" s="6" t="s">
        <v>95</v>
      </c>
      <c r="H126" s="154" t="s">
        <v>121</v>
      </c>
      <c r="I126" s="154"/>
    </row>
    <row r="127" spans="1:9" ht="13.5" customHeight="1">
      <c r="A127" s="159">
        <f>I83</f>
        <v>4110.8158733337195</v>
      </c>
      <c r="B127" s="160"/>
      <c r="C127" s="8">
        <f>I113</f>
        <v>0</v>
      </c>
      <c r="D127" s="161">
        <f>A127+C127</f>
        <v>4110.8158733337195</v>
      </c>
      <c r="E127" s="162"/>
      <c r="F127" s="6" t="s">
        <v>82</v>
      </c>
      <c r="G127" s="28">
        <v>0.0165</v>
      </c>
      <c r="H127" s="156">
        <v>0.0065</v>
      </c>
      <c r="I127" s="156"/>
    </row>
    <row r="128" spans="1:9" ht="15">
      <c r="A128" s="155" t="s">
        <v>172</v>
      </c>
      <c r="B128" s="155"/>
      <c r="C128" s="6">
        <v>1</v>
      </c>
      <c r="D128" s="41">
        <v>0.1175</v>
      </c>
      <c r="E128" s="49">
        <v>0.8825000000000001</v>
      </c>
      <c r="F128" s="6" t="s">
        <v>83</v>
      </c>
      <c r="G128" s="28">
        <v>0.076</v>
      </c>
      <c r="H128" s="156">
        <v>0.03</v>
      </c>
      <c r="I128" s="156"/>
    </row>
    <row r="129" spans="1:9" ht="22.5" customHeight="1">
      <c r="A129" s="155" t="s">
        <v>170</v>
      </c>
      <c r="B129" s="155"/>
      <c r="C129" s="6">
        <v>1</v>
      </c>
      <c r="D129" s="76">
        <f>H131</f>
        <v>0.0615</v>
      </c>
      <c r="E129" s="77">
        <f>C129-D129</f>
        <v>0.9385</v>
      </c>
      <c r="F129" s="6" t="s">
        <v>11</v>
      </c>
      <c r="G129" s="28">
        <f>I10</f>
        <v>0.025</v>
      </c>
      <c r="H129" s="156">
        <f>I10</f>
        <v>0.025</v>
      </c>
      <c r="I129" s="156"/>
    </row>
    <row r="130" spans="1:9" ht="13.5" customHeight="1">
      <c r="A130" s="155" t="s">
        <v>171</v>
      </c>
      <c r="B130" s="155"/>
      <c r="C130" s="6">
        <v>1</v>
      </c>
      <c r="D130" s="42">
        <v>0.0654</v>
      </c>
      <c r="E130" s="43">
        <v>0.9346</v>
      </c>
      <c r="F130" s="6" t="s">
        <v>96</v>
      </c>
      <c r="G130" s="28">
        <v>0</v>
      </c>
      <c r="H130" s="156">
        <v>0</v>
      </c>
      <c r="I130" s="156"/>
    </row>
    <row r="131" spans="1:9" ht="19.5" customHeight="1" thickBot="1">
      <c r="A131" s="50" t="s">
        <v>97</v>
      </c>
      <c r="B131" s="157" t="s">
        <v>98</v>
      </c>
      <c r="C131" s="157"/>
      <c r="D131" s="157"/>
      <c r="E131" s="157"/>
      <c r="F131" s="21" t="s">
        <v>99</v>
      </c>
      <c r="G131" s="51">
        <f>SUM(G127:G130)</f>
        <v>0.1175</v>
      </c>
      <c r="H131" s="158">
        <f>SUM(H127:I130)</f>
        <v>0.0615</v>
      </c>
      <c r="I131" s="158"/>
    </row>
    <row r="132" spans="1:9" ht="61.5" customHeight="1" thickBot="1">
      <c r="A132" s="167" t="s">
        <v>122</v>
      </c>
      <c r="B132" s="168"/>
      <c r="C132" s="168"/>
      <c r="D132" s="168"/>
      <c r="E132" s="168"/>
      <c r="F132" s="168"/>
      <c r="G132" s="168"/>
      <c r="H132" s="168"/>
      <c r="I132" s="169"/>
    </row>
    <row r="133" spans="1:9" ht="4.5" customHeight="1">
      <c r="A133" s="44"/>
      <c r="B133" s="170"/>
      <c r="C133" s="170"/>
      <c r="D133" s="170"/>
      <c r="E133" s="170"/>
      <c r="F133" s="170"/>
      <c r="G133" s="170"/>
      <c r="H133" s="170"/>
      <c r="I133" s="170"/>
    </row>
    <row r="134" spans="1:9" ht="15">
      <c r="A134" s="136" t="s">
        <v>100</v>
      </c>
      <c r="B134" s="136"/>
      <c r="C134" s="136"/>
      <c r="D134" s="136"/>
      <c r="E134" s="136"/>
      <c r="F134" s="136"/>
      <c r="G134" s="136"/>
      <c r="H134" s="29">
        <f>H122</f>
        <v>0.06553010122535961</v>
      </c>
      <c r="I134" s="30">
        <f>I122</f>
        <v>269.3821802983737</v>
      </c>
    </row>
    <row r="135" ht="4.5" customHeight="1"/>
    <row r="136" spans="1:9" ht="15">
      <c r="A136" s="171" t="s">
        <v>101</v>
      </c>
      <c r="B136" s="171"/>
      <c r="C136" s="171"/>
      <c r="D136" s="171"/>
      <c r="E136" s="171"/>
      <c r="F136" s="171"/>
      <c r="G136" s="171"/>
      <c r="H136" s="171"/>
      <c r="I136" s="171"/>
    </row>
    <row r="137" spans="1:9" ht="15">
      <c r="A137" s="124" t="s">
        <v>19</v>
      </c>
      <c r="B137" s="124"/>
      <c r="C137" s="124"/>
      <c r="D137" s="124"/>
      <c r="E137" s="124"/>
      <c r="F137" s="124"/>
      <c r="G137" s="124"/>
      <c r="H137" s="124"/>
      <c r="I137" s="124"/>
    </row>
    <row r="138" spans="1:9" ht="15" customHeight="1">
      <c r="A138" s="6">
        <v>1</v>
      </c>
      <c r="B138" s="120" t="s">
        <v>127</v>
      </c>
      <c r="C138" s="121"/>
      <c r="D138" s="121"/>
      <c r="E138" s="121"/>
      <c r="F138" s="121"/>
      <c r="G138" s="122"/>
      <c r="H138" s="7">
        <f>I138/$G$155</f>
        <v>0.5042938636458133</v>
      </c>
      <c r="I138" s="45">
        <f>I31</f>
        <v>2208.9069999999997</v>
      </c>
    </row>
    <row r="139" spans="1:9" ht="15" customHeight="1">
      <c r="A139" s="6">
        <v>2</v>
      </c>
      <c r="B139" s="120" t="s">
        <v>102</v>
      </c>
      <c r="C139" s="121"/>
      <c r="D139" s="121"/>
      <c r="E139" s="121"/>
      <c r="F139" s="121"/>
      <c r="G139" s="122"/>
      <c r="H139" s="7">
        <f>I139/$G$155</f>
        <v>0.3745239035420816</v>
      </c>
      <c r="I139" s="45">
        <f>I43+I54+I61+I65</f>
        <v>1640.4888733337198</v>
      </c>
    </row>
    <row r="140" spans="1:9" ht="15" customHeight="1">
      <c r="A140" s="6">
        <v>3</v>
      </c>
      <c r="B140" s="163" t="s">
        <v>128</v>
      </c>
      <c r="C140" s="163"/>
      <c r="D140" s="163"/>
      <c r="E140" s="163"/>
      <c r="F140" s="163"/>
      <c r="G140" s="163"/>
      <c r="H140" s="7">
        <f>I140/$G$155</f>
        <v>0.05968223281210505</v>
      </c>
      <c r="I140" s="45">
        <f>I73</f>
        <v>261.42</v>
      </c>
    </row>
    <row r="141" spans="1:16" s="13" customFormat="1" ht="15" customHeight="1">
      <c r="A141" s="164" t="s">
        <v>103</v>
      </c>
      <c r="B141" s="165"/>
      <c r="C141" s="165"/>
      <c r="D141" s="165"/>
      <c r="E141" s="165"/>
      <c r="F141" s="165"/>
      <c r="G141" s="166"/>
      <c r="H141" s="29">
        <f>SUM(H138:H140)</f>
        <v>0.9385</v>
      </c>
      <c r="I141" s="30">
        <f>SUM(I138:I140)</f>
        <v>4110.8158733337195</v>
      </c>
      <c r="J141"/>
      <c r="K141"/>
      <c r="L141"/>
      <c r="M141"/>
      <c r="N141"/>
      <c r="O141"/>
      <c r="P141"/>
    </row>
    <row r="142" ht="4.5" customHeight="1"/>
    <row r="143" spans="1:9" ht="15">
      <c r="A143" s="124" t="s">
        <v>59</v>
      </c>
      <c r="B143" s="124"/>
      <c r="C143" s="124"/>
      <c r="D143" s="124"/>
      <c r="E143" s="124"/>
      <c r="F143" s="124"/>
      <c r="G143" s="124"/>
      <c r="H143" s="124"/>
      <c r="I143" s="124"/>
    </row>
    <row r="144" spans="1:9" ht="15" customHeight="1">
      <c r="A144" s="6">
        <v>1</v>
      </c>
      <c r="B144" s="120" t="s">
        <v>129</v>
      </c>
      <c r="C144" s="121"/>
      <c r="D144" s="121"/>
      <c r="E144" s="121"/>
      <c r="F144" s="121"/>
      <c r="G144" s="122"/>
      <c r="H144" s="7">
        <f>I144/$G$155</f>
        <v>0</v>
      </c>
      <c r="I144" s="8">
        <f>I93</f>
        <v>0</v>
      </c>
    </row>
    <row r="145" spans="1:9" ht="15" customHeight="1">
      <c r="A145" s="6">
        <v>2</v>
      </c>
      <c r="B145" s="120" t="s">
        <v>130</v>
      </c>
      <c r="C145" s="121"/>
      <c r="D145" s="121"/>
      <c r="E145" s="121"/>
      <c r="F145" s="121"/>
      <c r="G145" s="122"/>
      <c r="H145" s="7">
        <f>I145/$G$155</f>
        <v>0</v>
      </c>
      <c r="I145" s="8">
        <f>I103</f>
        <v>0</v>
      </c>
    </row>
    <row r="146" spans="1:9" ht="15" customHeight="1">
      <c r="A146" s="6">
        <v>3</v>
      </c>
      <c r="B146" s="120" t="s">
        <v>131</v>
      </c>
      <c r="C146" s="121"/>
      <c r="D146" s="121"/>
      <c r="E146" s="121"/>
      <c r="F146" s="121"/>
      <c r="G146" s="122"/>
      <c r="H146" s="7">
        <f>I146/$G$155</f>
        <v>0</v>
      </c>
      <c r="I146" s="8">
        <f>I107</f>
        <v>0</v>
      </c>
    </row>
    <row r="147" spans="1:9" ht="15" customHeight="1">
      <c r="A147" s="164" t="s">
        <v>104</v>
      </c>
      <c r="B147" s="165"/>
      <c r="C147" s="165"/>
      <c r="D147" s="165"/>
      <c r="E147" s="165"/>
      <c r="F147" s="165"/>
      <c r="G147" s="166"/>
      <c r="H147" s="29">
        <f>SUM(H144:H146)</f>
        <v>0</v>
      </c>
      <c r="I147" s="30">
        <f>SUM(I144:I146)</f>
        <v>0</v>
      </c>
    </row>
    <row r="148" ht="4.5" customHeight="1"/>
    <row r="149" spans="1:9" ht="15">
      <c r="A149" s="124" t="s">
        <v>80</v>
      </c>
      <c r="B149" s="124"/>
      <c r="C149" s="124"/>
      <c r="D149" s="124"/>
      <c r="E149" s="124"/>
      <c r="F149" s="124"/>
      <c r="G149" s="124"/>
      <c r="H149" s="124"/>
      <c r="I149" s="124"/>
    </row>
    <row r="150" spans="1:9" ht="15" customHeight="1">
      <c r="A150" s="6">
        <v>1</v>
      </c>
      <c r="B150" s="120" t="s">
        <v>132</v>
      </c>
      <c r="C150" s="121"/>
      <c r="D150" s="121"/>
      <c r="E150" s="121"/>
      <c r="F150" s="121"/>
      <c r="G150" s="122"/>
      <c r="H150" s="7">
        <f>I150/$G$155</f>
        <v>0.06149999999999999</v>
      </c>
      <c r="I150" s="8">
        <f>I122</f>
        <v>269.3821802983737</v>
      </c>
    </row>
    <row r="151" spans="1:9" ht="15" customHeight="1">
      <c r="A151" s="164" t="s">
        <v>105</v>
      </c>
      <c r="B151" s="165"/>
      <c r="C151" s="165"/>
      <c r="D151" s="165"/>
      <c r="E151" s="165"/>
      <c r="F151" s="165"/>
      <c r="G151" s="166"/>
      <c r="H151" s="29">
        <f>H150</f>
        <v>0.06149999999999999</v>
      </c>
      <c r="I151" s="30">
        <f>I122</f>
        <v>269.3821802983737</v>
      </c>
    </row>
    <row r="152" ht="4.5" customHeight="1"/>
    <row r="153" spans="1:9" ht="15">
      <c r="A153" s="179" t="s">
        <v>101</v>
      </c>
      <c r="B153" s="179"/>
      <c r="C153" s="179"/>
      <c r="D153" s="179"/>
      <c r="E153" s="179"/>
      <c r="F153" s="179"/>
      <c r="G153" s="179"/>
      <c r="H153" s="179"/>
      <c r="I153" s="179"/>
    </row>
    <row r="154" spans="1:9" ht="45">
      <c r="A154" s="172" t="s">
        <v>106</v>
      </c>
      <c r="B154" s="172"/>
      <c r="C154" s="172"/>
      <c r="D154" s="172"/>
      <c r="E154" s="172"/>
      <c r="F154" s="172"/>
      <c r="G154" s="46" t="s">
        <v>107</v>
      </c>
      <c r="H154" s="46" t="s">
        <v>108</v>
      </c>
      <c r="I154" s="46" t="s">
        <v>109</v>
      </c>
    </row>
    <row r="155" spans="1:9" ht="15">
      <c r="A155" s="173" t="str">
        <f>G5</f>
        <v>VIGILANTE 12h - CBO 5173</v>
      </c>
      <c r="B155" s="174"/>
      <c r="C155" s="174"/>
      <c r="D155" s="174"/>
      <c r="E155" s="174"/>
      <c r="F155" s="175"/>
      <c r="G155" s="47">
        <f>I141+I147+I151</f>
        <v>4380.198053632093</v>
      </c>
      <c r="H155" s="46">
        <v>2</v>
      </c>
      <c r="I155" s="47">
        <f>G155*H155</f>
        <v>8760.396107264187</v>
      </c>
    </row>
    <row r="156" spans="1:9" ht="15">
      <c r="A156" s="173"/>
      <c r="B156" s="174"/>
      <c r="C156" s="174"/>
      <c r="D156" s="174"/>
      <c r="E156" s="174"/>
      <c r="F156" s="175"/>
      <c r="G156" s="46"/>
      <c r="H156" s="46"/>
      <c r="I156" s="47"/>
    </row>
    <row r="157" spans="1:16" s="13" customFormat="1" ht="15">
      <c r="A157" s="176" t="s">
        <v>163</v>
      </c>
      <c r="B157" s="177"/>
      <c r="C157" s="177"/>
      <c r="D157" s="177"/>
      <c r="E157" s="177"/>
      <c r="F157" s="177"/>
      <c r="G157" s="177"/>
      <c r="H157" s="178"/>
      <c r="I157" s="48">
        <f>I155+I156</f>
        <v>8760.396107264187</v>
      </c>
      <c r="J157"/>
      <c r="K157"/>
      <c r="L157"/>
      <c r="M157"/>
      <c r="N157"/>
      <c r="O157"/>
      <c r="P157"/>
    </row>
  </sheetData>
  <sheetProtection/>
  <mergeCells count="143">
    <mergeCell ref="A154:F154"/>
    <mergeCell ref="A155:F155"/>
    <mergeCell ref="A156:F156"/>
    <mergeCell ref="A157:H157"/>
    <mergeCell ref="B146:G146"/>
    <mergeCell ref="A147:G147"/>
    <mergeCell ref="A149:I149"/>
    <mergeCell ref="B150:G150"/>
    <mergeCell ref="A151:G151"/>
    <mergeCell ref="A153:I153"/>
    <mergeCell ref="B139:G139"/>
    <mergeCell ref="B140:G140"/>
    <mergeCell ref="A141:G141"/>
    <mergeCell ref="A143:I143"/>
    <mergeCell ref="B144:G144"/>
    <mergeCell ref="B145:G145"/>
    <mergeCell ref="A132:I132"/>
    <mergeCell ref="B133:I133"/>
    <mergeCell ref="A134:G134"/>
    <mergeCell ref="A136:I136"/>
    <mergeCell ref="A137:I137"/>
    <mergeCell ref="B138:G138"/>
    <mergeCell ref="A129:B129"/>
    <mergeCell ref="H129:I129"/>
    <mergeCell ref="A130:B130"/>
    <mergeCell ref="H130:I130"/>
    <mergeCell ref="B131:E131"/>
    <mergeCell ref="H131:I131"/>
    <mergeCell ref="A127:B127"/>
    <mergeCell ref="D127:E127"/>
    <mergeCell ref="H127:I127"/>
    <mergeCell ref="A128:B128"/>
    <mergeCell ref="H128:I128"/>
    <mergeCell ref="A122:G122"/>
    <mergeCell ref="B123:I123"/>
    <mergeCell ref="B124:I124"/>
    <mergeCell ref="A125:I125"/>
    <mergeCell ref="A126:B126"/>
    <mergeCell ref="D126:E126"/>
    <mergeCell ref="H126:I126"/>
    <mergeCell ref="B116:G116"/>
    <mergeCell ref="B117:G117"/>
    <mergeCell ref="B118:G118"/>
    <mergeCell ref="B119:G119"/>
    <mergeCell ref="B120:G120"/>
    <mergeCell ref="B121:G121"/>
    <mergeCell ref="A107:G107"/>
    <mergeCell ref="A109:E109"/>
    <mergeCell ref="A110:B110"/>
    <mergeCell ref="A111:B111"/>
    <mergeCell ref="A113:G113"/>
    <mergeCell ref="A115:I115"/>
    <mergeCell ref="B100:G100"/>
    <mergeCell ref="B101:G101"/>
    <mergeCell ref="B102:G102"/>
    <mergeCell ref="A103:G103"/>
    <mergeCell ref="B105:G105"/>
    <mergeCell ref="B106:G106"/>
    <mergeCell ref="B94:I94"/>
    <mergeCell ref="A96:E96"/>
    <mergeCell ref="A97:B97"/>
    <mergeCell ref="A98:B98"/>
    <mergeCell ref="B99:I99"/>
    <mergeCell ref="B88:G88"/>
    <mergeCell ref="B89:G89"/>
    <mergeCell ref="B90:G90"/>
    <mergeCell ref="B91:G91"/>
    <mergeCell ref="B92:G92"/>
    <mergeCell ref="A93:G93"/>
    <mergeCell ref="A80:B80"/>
    <mergeCell ref="A81:B81"/>
    <mergeCell ref="A83:G83"/>
    <mergeCell ref="A85:I85"/>
    <mergeCell ref="B86:G86"/>
    <mergeCell ref="B87:G87"/>
    <mergeCell ref="B72:G72"/>
    <mergeCell ref="A73:G73"/>
    <mergeCell ref="A75:I75"/>
    <mergeCell ref="A76:B76"/>
    <mergeCell ref="A77:B77"/>
    <mergeCell ref="A79:I79"/>
    <mergeCell ref="B64:G64"/>
    <mergeCell ref="A65:G65"/>
    <mergeCell ref="A67:G67"/>
    <mergeCell ref="B69:G69"/>
    <mergeCell ref="B70:G70"/>
    <mergeCell ref="B71:G71"/>
    <mergeCell ref="B57:G57"/>
    <mergeCell ref="B58:G58"/>
    <mergeCell ref="B59:G59"/>
    <mergeCell ref="B60:G60"/>
    <mergeCell ref="A61:G61"/>
    <mergeCell ref="B63:G63"/>
    <mergeCell ref="B51:G51"/>
    <mergeCell ref="B52:G52"/>
    <mergeCell ref="B53:G53"/>
    <mergeCell ref="A54:G54"/>
    <mergeCell ref="B55:I55"/>
    <mergeCell ref="B56:I56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B42:G42"/>
    <mergeCell ref="A43:G43"/>
    <mergeCell ref="A44:I44"/>
    <mergeCell ref="A31:G31"/>
    <mergeCell ref="B34:G34"/>
    <mergeCell ref="B35:G35"/>
    <mergeCell ref="B36:G36"/>
    <mergeCell ref="B37:G37"/>
    <mergeCell ref="B38:G38"/>
    <mergeCell ref="B25:G25"/>
    <mergeCell ref="B26:G26"/>
    <mergeCell ref="B27:G27"/>
    <mergeCell ref="B28:G28"/>
    <mergeCell ref="B29:G29"/>
    <mergeCell ref="B30:G30"/>
    <mergeCell ref="A16:F19"/>
    <mergeCell ref="G16:G19"/>
    <mergeCell ref="A20:F20"/>
    <mergeCell ref="A21:F21"/>
    <mergeCell ref="A23:I23"/>
    <mergeCell ref="B24:G24"/>
    <mergeCell ref="A8:F8"/>
    <mergeCell ref="A9:F9"/>
    <mergeCell ref="A10:F10"/>
    <mergeCell ref="A11:F11"/>
    <mergeCell ref="A12:F15"/>
    <mergeCell ref="G12:G15"/>
    <mergeCell ref="A1:I1"/>
    <mergeCell ref="A2:B2"/>
    <mergeCell ref="C2:D2"/>
    <mergeCell ref="E2:I2"/>
    <mergeCell ref="A3:B3"/>
    <mergeCell ref="A5:F7"/>
    <mergeCell ref="G5:H5"/>
    <mergeCell ref="G6:G7"/>
  </mergeCells>
  <printOptions horizontalCentered="1"/>
  <pageMargins left="0.5118110236220472" right="0.5118110236220472" top="0.7874015748031497" bottom="0.7874015748031497" header="0.31496062992125984" footer="0.31496062992125984"/>
  <pageSetup fitToHeight="3" horizontalDpi="600" verticalDpi="600" orientation="portrait" paperSize="9" scale="78" r:id="rId3"/>
  <rowBreaks count="2" manualBreakCount="2">
    <brk id="56" max="8" man="1"/>
    <brk id="114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4"/>
  <sheetViews>
    <sheetView view="pageBreakPreview" zoomScaleSheetLayoutView="100" zoomScalePageLayoutView="0" workbookViewId="0" topLeftCell="A100">
      <selection activeCell="I114" sqref="I114"/>
    </sheetView>
  </sheetViews>
  <sheetFormatPr defaultColWidth="9.140625" defaultRowHeight="15"/>
  <cols>
    <col min="1" max="1" width="2.8515625" style="2" customWidth="1"/>
    <col min="2" max="3" width="11.28125" style="2" customWidth="1"/>
    <col min="4" max="4" width="12.28125" style="2" customWidth="1"/>
    <col min="5" max="5" width="11.28125" style="2" customWidth="1"/>
    <col min="6" max="6" width="12.421875" style="2" customWidth="1"/>
    <col min="7" max="7" width="11.57421875" style="2" customWidth="1"/>
    <col min="8" max="8" width="9.00390625" style="2" customWidth="1"/>
    <col min="9" max="9" width="11.7109375" style="2" customWidth="1"/>
    <col min="10" max="10" width="11.00390625" style="0" customWidth="1"/>
    <col min="11" max="11" width="10.00390625" style="0" bestFit="1" customWidth="1"/>
    <col min="17" max="16384" width="9.140625" style="2" customWidth="1"/>
  </cols>
  <sheetData>
    <row r="1" spans="1:9" ht="26.2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40.5" customHeight="1">
      <c r="A2" s="107" t="s">
        <v>1</v>
      </c>
      <c r="B2" s="107"/>
      <c r="C2" s="108" t="s">
        <v>179</v>
      </c>
      <c r="D2" s="108"/>
      <c r="E2" s="109" t="s">
        <v>111</v>
      </c>
      <c r="F2" s="109"/>
      <c r="G2" s="109"/>
      <c r="H2" s="109"/>
      <c r="I2" s="109"/>
    </row>
    <row r="3" spans="1:9" ht="11.25">
      <c r="A3" s="107" t="s">
        <v>2</v>
      </c>
      <c r="B3" s="107"/>
      <c r="C3" s="4"/>
      <c r="D3" s="3"/>
      <c r="E3" s="61" t="s">
        <v>3</v>
      </c>
      <c r="F3" s="61"/>
      <c r="G3" s="3"/>
      <c r="H3" s="3"/>
      <c r="I3" s="3"/>
    </row>
    <row r="4" ht="4.5" customHeight="1"/>
    <row r="5" spans="1:9" ht="17.25" customHeight="1">
      <c r="A5" s="110" t="s">
        <v>160</v>
      </c>
      <c r="B5" s="111"/>
      <c r="C5" s="111"/>
      <c r="D5" s="111"/>
      <c r="E5" s="111"/>
      <c r="F5" s="112"/>
      <c r="G5" s="106" t="s">
        <v>156</v>
      </c>
      <c r="H5" s="106"/>
      <c r="I5" s="82">
        <v>220</v>
      </c>
    </row>
    <row r="6" spans="1:9" ht="18.75" customHeight="1">
      <c r="A6" s="113"/>
      <c r="B6" s="114"/>
      <c r="C6" s="114"/>
      <c r="D6" s="114"/>
      <c r="E6" s="114"/>
      <c r="F6" s="115"/>
      <c r="G6" s="119" t="s">
        <v>4</v>
      </c>
      <c r="H6" s="81" t="s">
        <v>5</v>
      </c>
      <c r="I6" s="83">
        <v>0.3</v>
      </c>
    </row>
    <row r="7" spans="1:16" s="1" customFormat="1" ht="22.5" customHeight="1">
      <c r="A7" s="116"/>
      <c r="B7" s="117"/>
      <c r="C7" s="117"/>
      <c r="D7" s="117"/>
      <c r="E7" s="117"/>
      <c r="F7" s="118"/>
      <c r="G7" s="119"/>
      <c r="H7" s="81" t="s">
        <v>6</v>
      </c>
      <c r="I7" s="81">
        <v>1</v>
      </c>
      <c r="J7"/>
      <c r="K7"/>
      <c r="L7"/>
      <c r="M7"/>
      <c r="N7"/>
      <c r="O7"/>
      <c r="P7"/>
    </row>
    <row r="8" spans="1:16" s="1" customFormat="1" ht="11.25" customHeight="1">
      <c r="A8" s="94" t="s">
        <v>7</v>
      </c>
      <c r="B8" s="95"/>
      <c r="C8" s="95"/>
      <c r="D8" s="95"/>
      <c r="E8" s="95"/>
      <c r="F8" s="95"/>
      <c r="G8" s="81"/>
      <c r="H8" s="81" t="s">
        <v>8</v>
      </c>
      <c r="I8" s="81">
        <v>15</v>
      </c>
      <c r="J8"/>
      <c r="K8"/>
      <c r="L8"/>
      <c r="M8"/>
      <c r="N8"/>
      <c r="O8"/>
      <c r="P8"/>
    </row>
    <row r="9" spans="1:16" s="1" customFormat="1" ht="15" customHeight="1">
      <c r="A9" s="94" t="s">
        <v>9</v>
      </c>
      <c r="B9" s="95"/>
      <c r="C9" s="95"/>
      <c r="D9" s="95"/>
      <c r="E9" s="95"/>
      <c r="F9" s="95"/>
      <c r="G9" s="81" t="s">
        <v>10</v>
      </c>
      <c r="H9" s="81">
        <v>220</v>
      </c>
      <c r="I9" s="84">
        <v>1408</v>
      </c>
      <c r="J9"/>
      <c r="K9"/>
      <c r="L9"/>
      <c r="M9"/>
      <c r="N9"/>
      <c r="O9"/>
      <c r="P9"/>
    </row>
    <row r="10" spans="1:16" s="1" customFormat="1" ht="22.5" customHeight="1">
      <c r="A10" s="94" t="s">
        <v>11</v>
      </c>
      <c r="B10" s="95"/>
      <c r="C10" s="95"/>
      <c r="D10" s="95"/>
      <c r="E10" s="95"/>
      <c r="F10" s="95"/>
      <c r="G10" s="81" t="s">
        <v>12</v>
      </c>
      <c r="H10" s="81" t="s">
        <v>5</v>
      </c>
      <c r="I10" s="85">
        <v>0.025</v>
      </c>
      <c r="J10"/>
      <c r="K10"/>
      <c r="L10"/>
      <c r="M10"/>
      <c r="N10"/>
      <c r="O10"/>
      <c r="P10"/>
    </row>
    <row r="11" spans="1:16" s="1" customFormat="1" ht="15" customHeight="1">
      <c r="A11" s="94" t="s">
        <v>138</v>
      </c>
      <c r="B11" s="95"/>
      <c r="C11" s="95"/>
      <c r="D11" s="95"/>
      <c r="E11" s="95"/>
      <c r="F11" s="95"/>
      <c r="G11" s="81" t="s">
        <v>17</v>
      </c>
      <c r="H11" s="81" t="s">
        <v>110</v>
      </c>
      <c r="I11" s="86">
        <v>1.07</v>
      </c>
      <c r="J11"/>
      <c r="K11"/>
      <c r="L11"/>
      <c r="M11"/>
      <c r="N11"/>
      <c r="O11"/>
      <c r="P11"/>
    </row>
    <row r="12" spans="1:16" s="1" customFormat="1" ht="15" customHeight="1">
      <c r="A12" s="97" t="s">
        <v>13</v>
      </c>
      <c r="B12" s="98"/>
      <c r="C12" s="98"/>
      <c r="D12" s="98"/>
      <c r="E12" s="98"/>
      <c r="F12" s="98"/>
      <c r="G12" s="106" t="s">
        <v>12</v>
      </c>
      <c r="H12" s="81" t="s">
        <v>136</v>
      </c>
      <c r="I12" s="81">
        <v>4.05</v>
      </c>
      <c r="J12"/>
      <c r="K12"/>
      <c r="L12"/>
      <c r="M12"/>
      <c r="N12"/>
      <c r="O12"/>
      <c r="P12"/>
    </row>
    <row r="13" spans="1:16" s="1" customFormat="1" ht="15">
      <c r="A13" s="100"/>
      <c r="B13" s="101"/>
      <c r="C13" s="101"/>
      <c r="D13" s="101"/>
      <c r="E13" s="101"/>
      <c r="F13" s="101"/>
      <c r="G13" s="106"/>
      <c r="H13" s="81" t="s">
        <v>14</v>
      </c>
      <c r="I13" s="81">
        <f>I8</f>
        <v>15</v>
      </c>
      <c r="J13"/>
      <c r="K13"/>
      <c r="L13"/>
      <c r="M13"/>
      <c r="N13"/>
      <c r="O13"/>
      <c r="P13"/>
    </row>
    <row r="14" spans="1:16" s="1" customFormat="1" ht="15">
      <c r="A14" s="100"/>
      <c r="B14" s="101"/>
      <c r="C14" s="101"/>
      <c r="D14" s="101"/>
      <c r="E14" s="101"/>
      <c r="F14" s="101"/>
      <c r="G14" s="106"/>
      <c r="H14" s="81" t="s">
        <v>15</v>
      </c>
      <c r="I14" s="81">
        <v>2</v>
      </c>
      <c r="J14"/>
      <c r="K14"/>
      <c r="L14"/>
      <c r="M14"/>
      <c r="N14"/>
      <c r="O14"/>
      <c r="P14"/>
    </row>
    <row r="15" spans="1:16" s="1" customFormat="1" ht="15">
      <c r="A15" s="103"/>
      <c r="B15" s="104"/>
      <c r="C15" s="104"/>
      <c r="D15" s="104"/>
      <c r="E15" s="104"/>
      <c r="F15" s="104"/>
      <c r="G15" s="106"/>
      <c r="H15" s="81" t="s">
        <v>16</v>
      </c>
      <c r="I15" s="87">
        <v>0.06</v>
      </c>
      <c r="J15"/>
      <c r="K15"/>
      <c r="L15"/>
      <c r="M15"/>
      <c r="N15"/>
      <c r="O15"/>
      <c r="P15"/>
    </row>
    <row r="16" spans="1:16" s="1" customFormat="1" ht="11.25" customHeight="1">
      <c r="A16" s="123" t="s">
        <v>180</v>
      </c>
      <c r="B16" s="123"/>
      <c r="C16" s="123"/>
      <c r="D16" s="123"/>
      <c r="E16" s="123"/>
      <c r="F16" s="94"/>
      <c r="G16" s="106" t="s">
        <v>17</v>
      </c>
      <c r="H16" s="81" t="s">
        <v>137</v>
      </c>
      <c r="I16" s="86">
        <v>18.7</v>
      </c>
      <c r="J16"/>
      <c r="K16"/>
      <c r="L16"/>
      <c r="M16"/>
      <c r="N16"/>
      <c r="O16"/>
      <c r="P16"/>
    </row>
    <row r="17" spans="1:9" ht="11.25" customHeight="1">
      <c r="A17" s="123"/>
      <c r="B17" s="123"/>
      <c r="C17" s="123"/>
      <c r="D17" s="123"/>
      <c r="E17" s="123"/>
      <c r="F17" s="94"/>
      <c r="G17" s="106"/>
      <c r="H17" s="81" t="s">
        <v>14</v>
      </c>
      <c r="I17" s="88">
        <f>I8</f>
        <v>15</v>
      </c>
    </row>
    <row r="18" spans="1:9" ht="11.25" customHeight="1">
      <c r="A18" s="123"/>
      <c r="B18" s="123"/>
      <c r="C18" s="123"/>
      <c r="D18" s="123"/>
      <c r="E18" s="123"/>
      <c r="F18" s="94"/>
      <c r="G18" s="106"/>
      <c r="H18" s="81" t="s">
        <v>18</v>
      </c>
      <c r="I18" s="88">
        <v>1</v>
      </c>
    </row>
    <row r="19" spans="1:9" ht="15">
      <c r="A19" s="123"/>
      <c r="B19" s="123"/>
      <c r="C19" s="123"/>
      <c r="D19" s="123"/>
      <c r="E19" s="123"/>
      <c r="F19" s="94"/>
      <c r="G19" s="106"/>
      <c r="H19" s="81" t="s">
        <v>16</v>
      </c>
      <c r="I19" s="87">
        <v>0.2</v>
      </c>
    </row>
    <row r="20" spans="1:16" ht="24" customHeight="1">
      <c r="A20" s="94" t="s">
        <v>159</v>
      </c>
      <c r="B20" s="95"/>
      <c r="C20" s="95"/>
      <c r="D20" s="95"/>
      <c r="E20" s="95"/>
      <c r="F20" s="95"/>
      <c r="G20" s="81" t="s">
        <v>17</v>
      </c>
      <c r="H20" s="78" t="s">
        <v>112</v>
      </c>
      <c r="I20" s="88">
        <f>I17*1.2</f>
        <v>18</v>
      </c>
      <c r="K20" s="93"/>
      <c r="L20" s="93"/>
      <c r="M20" s="93"/>
      <c r="N20" s="93"/>
      <c r="O20" s="93"/>
      <c r="P20" s="93"/>
    </row>
    <row r="21" spans="1:16" ht="19.5" customHeight="1">
      <c r="A21" s="180" t="s">
        <v>181</v>
      </c>
      <c r="B21" s="181"/>
      <c r="C21" s="181"/>
      <c r="D21" s="181"/>
      <c r="E21" s="181"/>
      <c r="F21" s="182"/>
      <c r="G21" s="106" t="s">
        <v>17</v>
      </c>
      <c r="H21" s="78" t="s">
        <v>157</v>
      </c>
      <c r="I21" s="89">
        <v>4.33</v>
      </c>
      <c r="J21" s="1"/>
      <c r="K21" s="183"/>
      <c r="L21" s="183"/>
      <c r="M21" s="183"/>
      <c r="N21" s="183"/>
      <c r="O21" s="183"/>
      <c r="P21" s="183"/>
    </row>
    <row r="22" spans="1:16" ht="27" customHeight="1">
      <c r="A22" s="181"/>
      <c r="B22" s="181"/>
      <c r="C22" s="181"/>
      <c r="D22" s="181"/>
      <c r="E22" s="181"/>
      <c r="F22" s="182"/>
      <c r="G22" s="106"/>
      <c r="H22" s="78" t="s">
        <v>158</v>
      </c>
      <c r="I22" s="90">
        <f>(I9/H9)*1.5*(1+I6)</f>
        <v>12.480000000000002</v>
      </c>
      <c r="J22" s="65"/>
      <c r="K22" s="183"/>
      <c r="L22" s="183"/>
      <c r="M22" s="183"/>
      <c r="N22" s="183"/>
      <c r="O22" s="183"/>
      <c r="P22" s="183"/>
    </row>
    <row r="23" spans="1:10" ht="11.25" customHeight="1">
      <c r="A23" s="97" t="s">
        <v>161</v>
      </c>
      <c r="B23" s="98"/>
      <c r="C23" s="98"/>
      <c r="D23" s="98"/>
      <c r="E23" s="98"/>
      <c r="F23" s="99"/>
      <c r="G23" s="106" t="s">
        <v>17</v>
      </c>
      <c r="H23" s="78" t="s">
        <v>157</v>
      </c>
      <c r="I23" s="89">
        <f>(((60/52.5)*9))*I8</f>
        <v>154.28571428571428</v>
      </c>
      <c r="J23" s="65"/>
    </row>
    <row r="24" spans="1:16" ht="11.25">
      <c r="A24" s="103"/>
      <c r="B24" s="104"/>
      <c r="C24" s="104"/>
      <c r="D24" s="104"/>
      <c r="E24" s="104"/>
      <c r="F24" s="105"/>
      <c r="G24" s="106"/>
      <c r="H24" s="78" t="s">
        <v>158</v>
      </c>
      <c r="I24" s="91">
        <f>((I9/H9)*0.2)*(1+I6)</f>
        <v>1.6640000000000004</v>
      </c>
      <c r="J24" s="65"/>
      <c r="K24" s="65"/>
      <c r="L24" s="67"/>
      <c r="M24" s="2"/>
      <c r="N24" s="2"/>
      <c r="O24" s="2"/>
      <c r="P24" s="2"/>
    </row>
    <row r="25" spans="1:9" ht="15">
      <c r="A25" s="123" t="s">
        <v>135</v>
      </c>
      <c r="B25" s="123"/>
      <c r="C25" s="123"/>
      <c r="D25" s="123"/>
      <c r="E25" s="123"/>
      <c r="F25" s="94"/>
      <c r="G25" s="81"/>
      <c r="H25" s="81" t="s">
        <v>5</v>
      </c>
      <c r="I25" s="87">
        <v>0.2</v>
      </c>
    </row>
    <row r="26" ht="4.5" customHeight="1"/>
    <row r="27" spans="1:9" ht="17.25" customHeight="1">
      <c r="A27" s="124" t="s">
        <v>19</v>
      </c>
      <c r="B27" s="124"/>
      <c r="C27" s="124"/>
      <c r="D27" s="124"/>
      <c r="E27" s="124"/>
      <c r="F27" s="124"/>
      <c r="G27" s="124"/>
      <c r="H27" s="124"/>
      <c r="I27" s="124"/>
    </row>
    <row r="28" spans="1:9" ht="33.75">
      <c r="A28" s="5" t="s">
        <v>20</v>
      </c>
      <c r="B28" s="125" t="s">
        <v>21</v>
      </c>
      <c r="C28" s="126"/>
      <c r="D28" s="126"/>
      <c r="E28" s="126"/>
      <c r="F28" s="126"/>
      <c r="G28" s="127"/>
      <c r="H28" s="5" t="s">
        <v>22</v>
      </c>
      <c r="I28" s="5" t="s">
        <v>23</v>
      </c>
    </row>
    <row r="29" spans="1:9" ht="15" customHeight="1">
      <c r="A29" s="57">
        <v>1</v>
      </c>
      <c r="B29" s="120" t="s">
        <v>24</v>
      </c>
      <c r="C29" s="121"/>
      <c r="D29" s="121"/>
      <c r="E29" s="121"/>
      <c r="F29" s="121"/>
      <c r="G29" s="122"/>
      <c r="H29" s="7">
        <f>I29/$I$38</f>
        <v>0.5453494485836495</v>
      </c>
      <c r="I29" s="8">
        <f>I9/H9*I5</f>
        <v>1408</v>
      </c>
    </row>
    <row r="30" spans="1:9" ht="15" customHeight="1">
      <c r="A30" s="57">
        <v>2</v>
      </c>
      <c r="B30" s="120" t="s">
        <v>138</v>
      </c>
      <c r="C30" s="121"/>
      <c r="D30" s="121"/>
      <c r="E30" s="121"/>
      <c r="F30" s="121"/>
      <c r="G30" s="122"/>
      <c r="H30" s="7">
        <f>I30/$I$38</f>
        <v>0.006216518927391744</v>
      </c>
      <c r="I30" s="59">
        <f>I11*I8</f>
        <v>16.05</v>
      </c>
    </row>
    <row r="31" spans="1:11" ht="15" customHeight="1">
      <c r="A31" s="57">
        <v>3</v>
      </c>
      <c r="B31" s="120" t="s">
        <v>153</v>
      </c>
      <c r="C31" s="121"/>
      <c r="D31" s="121"/>
      <c r="E31" s="121"/>
      <c r="F31" s="121"/>
      <c r="G31" s="122"/>
      <c r="H31" s="7">
        <f>I31/$I$38</f>
        <v>0.16546979025331238</v>
      </c>
      <c r="I31" s="8">
        <f>(I29+I30)*I6</f>
        <v>427.215</v>
      </c>
      <c r="K31" s="68"/>
    </row>
    <row r="32" spans="1:9" ht="21" customHeight="1">
      <c r="A32" s="10">
        <v>4</v>
      </c>
      <c r="B32" s="120" t="s">
        <v>152</v>
      </c>
      <c r="C32" s="121"/>
      <c r="D32" s="121"/>
      <c r="E32" s="121"/>
      <c r="F32" s="121"/>
      <c r="G32" s="122"/>
      <c r="H32" s="7">
        <f>I32/$I$38</f>
        <v>0.08700802566039136</v>
      </c>
      <c r="I32" s="8">
        <f>(I9/H9)*(1+I6)*1.5*I20</f>
        <v>224.64000000000001</v>
      </c>
    </row>
    <row r="33" spans="1:9" ht="15" customHeight="1">
      <c r="A33" s="10">
        <v>5</v>
      </c>
      <c r="B33" s="120" t="s">
        <v>154</v>
      </c>
      <c r="C33" s="121"/>
      <c r="D33" s="121"/>
      <c r="E33" s="121"/>
      <c r="F33" s="121"/>
      <c r="G33" s="122"/>
      <c r="H33" s="7">
        <f>I33/$I$38</f>
        <v>0.0012433037854783489</v>
      </c>
      <c r="I33" s="8">
        <f>(I30)*I25</f>
        <v>3.2100000000000004</v>
      </c>
    </row>
    <row r="34" spans="1:16" ht="17.25" customHeight="1">
      <c r="A34" s="63">
        <v>6</v>
      </c>
      <c r="B34" s="120" t="s">
        <v>185</v>
      </c>
      <c r="C34" s="121"/>
      <c r="D34" s="121"/>
      <c r="E34" s="121"/>
      <c r="F34" s="121"/>
      <c r="G34" s="122"/>
      <c r="H34" s="7">
        <f>I34/$I$38</f>
        <v>0.02093026395052748</v>
      </c>
      <c r="I34" s="64">
        <f>I21*I22</f>
        <v>54.03840000000001</v>
      </c>
      <c r="J34" s="62"/>
      <c r="M34" s="2"/>
      <c r="N34" s="2"/>
      <c r="O34" s="2"/>
      <c r="P34" s="2"/>
    </row>
    <row r="35" spans="1:16" ht="15" customHeight="1">
      <c r="A35" s="63">
        <v>7</v>
      </c>
      <c r="B35" s="120" t="s">
        <v>162</v>
      </c>
      <c r="C35" s="121"/>
      <c r="D35" s="121"/>
      <c r="E35" s="121"/>
      <c r="F35" s="121"/>
      <c r="G35" s="122"/>
      <c r="H35" s="7">
        <f>I35/$I$38</f>
        <v>0.09943774361187585</v>
      </c>
      <c r="I35" s="64">
        <f>I23*I24</f>
        <v>256.73142857142864</v>
      </c>
      <c r="M35" s="67"/>
      <c r="N35" s="2"/>
      <c r="O35" s="2"/>
      <c r="P35" s="2"/>
    </row>
    <row r="36" spans="1:16" ht="15.75" customHeight="1">
      <c r="A36" s="63">
        <v>8</v>
      </c>
      <c r="B36" s="120" t="s">
        <v>164</v>
      </c>
      <c r="C36" s="121"/>
      <c r="D36" s="121"/>
      <c r="E36" s="121"/>
      <c r="F36" s="121"/>
      <c r="G36" s="122"/>
      <c r="H36" s="7">
        <f>I36/$I$38</f>
        <v>0.02407360151248067</v>
      </c>
      <c r="I36" s="64">
        <f>(I34+I35)*I25</f>
        <v>62.15396571428573</v>
      </c>
      <c r="J36" s="66"/>
      <c r="M36" s="67"/>
      <c r="N36" s="2"/>
      <c r="O36" s="2"/>
      <c r="P36" s="2"/>
    </row>
    <row r="37" spans="1:10" ht="27.75" customHeight="1">
      <c r="A37" s="92">
        <v>9</v>
      </c>
      <c r="B37" s="120" t="s">
        <v>186</v>
      </c>
      <c r="C37" s="121"/>
      <c r="D37" s="121"/>
      <c r="E37" s="121"/>
      <c r="F37" s="121"/>
      <c r="G37" s="122"/>
      <c r="H37" s="7">
        <f>I37/$I$38</f>
        <v>0.05027130371489278</v>
      </c>
      <c r="I37" s="8">
        <f>(I9/220)*1.3*1.3*12</f>
        <v>129.792</v>
      </c>
      <c r="J37" s="62"/>
    </row>
    <row r="38" spans="1:16" s="13" customFormat="1" ht="15" customHeight="1">
      <c r="A38" s="128" t="s">
        <v>155</v>
      </c>
      <c r="B38" s="129"/>
      <c r="C38" s="129"/>
      <c r="D38" s="129"/>
      <c r="E38" s="129"/>
      <c r="F38" s="129"/>
      <c r="G38" s="130"/>
      <c r="H38" s="11">
        <f>SUM(H29:H37)</f>
        <v>1</v>
      </c>
      <c r="I38" s="56">
        <f>SUM(I29:I37)</f>
        <v>2581.830794285714</v>
      </c>
      <c r="J38" s="62"/>
      <c r="K38"/>
      <c r="L38"/>
      <c r="M38"/>
      <c r="N38"/>
      <c r="O38"/>
      <c r="P38"/>
    </row>
    <row r="39" spans="1:16" s="13" customFormat="1" ht="15">
      <c r="A39" s="14"/>
      <c r="B39" s="14"/>
      <c r="C39" s="14"/>
      <c r="D39" s="14"/>
      <c r="E39" s="14"/>
      <c r="F39" s="14"/>
      <c r="G39" s="14"/>
      <c r="H39" s="15"/>
      <c r="I39" s="16"/>
      <c r="J39"/>
      <c r="K39"/>
      <c r="L39"/>
      <c r="M39"/>
      <c r="N39"/>
      <c r="O39"/>
      <c r="P39"/>
    </row>
    <row r="40" ht="4.5" customHeight="1"/>
    <row r="41" spans="1:9" ht="33.75" customHeight="1">
      <c r="A41" s="5" t="s">
        <v>25</v>
      </c>
      <c r="B41" s="125" t="s">
        <v>26</v>
      </c>
      <c r="C41" s="126"/>
      <c r="D41" s="126"/>
      <c r="E41" s="126"/>
      <c r="F41" s="126"/>
      <c r="G41" s="127"/>
      <c r="H41" s="5" t="s">
        <v>22</v>
      </c>
      <c r="I41" s="5" t="s">
        <v>23</v>
      </c>
    </row>
    <row r="42" spans="1:9" ht="15" customHeight="1">
      <c r="A42" s="57">
        <v>1</v>
      </c>
      <c r="B42" s="120" t="s">
        <v>113</v>
      </c>
      <c r="C42" s="121"/>
      <c r="D42" s="121"/>
      <c r="E42" s="121"/>
      <c r="F42" s="121"/>
      <c r="G42" s="122"/>
      <c r="H42" s="7">
        <v>0.2</v>
      </c>
      <c r="I42" s="8">
        <f>$I$38*H42</f>
        <v>516.3661588571429</v>
      </c>
    </row>
    <row r="43" spans="1:9" ht="15" customHeight="1">
      <c r="A43" s="57">
        <v>2</v>
      </c>
      <c r="B43" s="120" t="s">
        <v>114</v>
      </c>
      <c r="C43" s="121"/>
      <c r="D43" s="121"/>
      <c r="E43" s="121"/>
      <c r="F43" s="121"/>
      <c r="G43" s="122"/>
      <c r="H43" s="7">
        <v>0.015</v>
      </c>
      <c r="I43" s="8">
        <f>$I$38*H43</f>
        <v>38.72746191428571</v>
      </c>
    </row>
    <row r="44" spans="1:9" ht="15" customHeight="1">
      <c r="A44" s="57">
        <v>3</v>
      </c>
      <c r="B44" s="120" t="s">
        <v>115</v>
      </c>
      <c r="C44" s="121"/>
      <c r="D44" s="121"/>
      <c r="E44" s="121"/>
      <c r="F44" s="121"/>
      <c r="G44" s="122"/>
      <c r="H44" s="7">
        <v>0.01</v>
      </c>
      <c r="I44" s="8">
        <f aca="true" t="shared" si="0" ref="I44:I49">$I$38*H44</f>
        <v>25.818307942857142</v>
      </c>
    </row>
    <row r="45" spans="1:9" ht="15" customHeight="1">
      <c r="A45" s="57">
        <v>4</v>
      </c>
      <c r="B45" s="120" t="s">
        <v>116</v>
      </c>
      <c r="C45" s="121"/>
      <c r="D45" s="121"/>
      <c r="E45" s="121"/>
      <c r="F45" s="121"/>
      <c r="G45" s="122"/>
      <c r="H45" s="7">
        <v>0.002</v>
      </c>
      <c r="I45" s="8">
        <f>$I$38*H45</f>
        <v>5.163661588571428</v>
      </c>
    </row>
    <row r="46" spans="1:9" ht="15" customHeight="1">
      <c r="A46" s="57">
        <v>5</v>
      </c>
      <c r="B46" s="120" t="s">
        <v>117</v>
      </c>
      <c r="C46" s="121"/>
      <c r="D46" s="121"/>
      <c r="E46" s="121"/>
      <c r="F46" s="121"/>
      <c r="G46" s="122"/>
      <c r="H46" s="7">
        <v>0.025</v>
      </c>
      <c r="I46" s="8">
        <f t="shared" si="0"/>
        <v>64.54576985714286</v>
      </c>
    </row>
    <row r="47" spans="1:9" ht="15" customHeight="1">
      <c r="A47" s="57">
        <v>6</v>
      </c>
      <c r="B47" s="120" t="s">
        <v>118</v>
      </c>
      <c r="C47" s="121"/>
      <c r="D47" s="121"/>
      <c r="E47" s="121"/>
      <c r="F47" s="121"/>
      <c r="G47" s="122"/>
      <c r="H47" s="7">
        <v>0.08</v>
      </c>
      <c r="I47" s="8">
        <f>$I$38*H47</f>
        <v>206.54646354285714</v>
      </c>
    </row>
    <row r="48" spans="1:9" ht="15" customHeight="1">
      <c r="A48" s="57">
        <v>7</v>
      </c>
      <c r="B48" s="120" t="s">
        <v>119</v>
      </c>
      <c r="C48" s="121"/>
      <c r="D48" s="121"/>
      <c r="E48" s="121"/>
      <c r="F48" s="121"/>
      <c r="G48" s="122"/>
      <c r="H48" s="7">
        <v>0.03</v>
      </c>
      <c r="I48" s="8">
        <f>$I$38*H48</f>
        <v>77.45492382857142</v>
      </c>
    </row>
    <row r="49" spans="1:9" ht="15" customHeight="1">
      <c r="A49" s="57">
        <v>8</v>
      </c>
      <c r="B49" s="120" t="s">
        <v>120</v>
      </c>
      <c r="C49" s="121"/>
      <c r="D49" s="121"/>
      <c r="E49" s="121"/>
      <c r="F49" s="121"/>
      <c r="G49" s="122"/>
      <c r="H49" s="7">
        <v>0.006</v>
      </c>
      <c r="I49" s="8">
        <f t="shared" si="0"/>
        <v>15.490984765714284</v>
      </c>
    </row>
    <row r="50" spans="1:16" s="13" customFormat="1" ht="15" customHeight="1">
      <c r="A50" s="128" t="s">
        <v>27</v>
      </c>
      <c r="B50" s="129"/>
      <c r="C50" s="129"/>
      <c r="D50" s="129"/>
      <c r="E50" s="129"/>
      <c r="F50" s="129"/>
      <c r="G50" s="130"/>
      <c r="H50" s="11">
        <f>SUM(H42:H49)</f>
        <v>0.3680000000000001</v>
      </c>
      <c r="I50" s="56">
        <f>SUM(I42:I49)</f>
        <v>950.113732297143</v>
      </c>
      <c r="J50"/>
      <c r="K50"/>
      <c r="L50"/>
      <c r="M50"/>
      <c r="N50"/>
      <c r="O50"/>
      <c r="P50"/>
    </row>
    <row r="51" spans="1:9" ht="15" customHeight="1">
      <c r="A51" s="131" t="s">
        <v>28</v>
      </c>
      <c r="B51" s="131"/>
      <c r="C51" s="131"/>
      <c r="D51" s="131"/>
      <c r="E51" s="131"/>
      <c r="F51" s="131"/>
      <c r="G51" s="131"/>
      <c r="H51" s="131"/>
      <c r="I51" s="131"/>
    </row>
    <row r="52" spans="1:9" ht="33.75" customHeight="1">
      <c r="A52" s="5" t="s">
        <v>29</v>
      </c>
      <c r="B52" s="125" t="s">
        <v>30</v>
      </c>
      <c r="C52" s="126"/>
      <c r="D52" s="126"/>
      <c r="E52" s="126"/>
      <c r="F52" s="126"/>
      <c r="G52" s="127"/>
      <c r="H52" s="5" t="s">
        <v>22</v>
      </c>
      <c r="I52" s="5" t="s">
        <v>23</v>
      </c>
    </row>
    <row r="53" spans="1:9" ht="15" customHeight="1">
      <c r="A53" s="57">
        <v>1</v>
      </c>
      <c r="B53" s="120" t="s">
        <v>139</v>
      </c>
      <c r="C53" s="121"/>
      <c r="D53" s="121"/>
      <c r="E53" s="121"/>
      <c r="F53" s="121"/>
      <c r="G53" s="122"/>
      <c r="H53" s="7">
        <v>0.1111</v>
      </c>
      <c r="I53" s="8">
        <f>$I$38*H53</f>
        <v>286.84140124514283</v>
      </c>
    </row>
    <row r="54" spans="1:9" ht="15" customHeight="1">
      <c r="A54" s="57">
        <v>2</v>
      </c>
      <c r="B54" s="120" t="s">
        <v>140</v>
      </c>
      <c r="C54" s="121"/>
      <c r="D54" s="121"/>
      <c r="E54" s="121"/>
      <c r="F54" s="121"/>
      <c r="G54" s="122"/>
      <c r="H54" s="7">
        <v>0.02047</v>
      </c>
      <c r="I54" s="8">
        <f>$I$38*H54</f>
        <v>52.85007635902856</v>
      </c>
    </row>
    <row r="55" spans="1:9" ht="15" customHeight="1">
      <c r="A55" s="57">
        <v>3</v>
      </c>
      <c r="B55" s="120" t="s">
        <v>141</v>
      </c>
      <c r="C55" s="121"/>
      <c r="D55" s="121"/>
      <c r="E55" s="121"/>
      <c r="F55" s="121"/>
      <c r="G55" s="122"/>
      <c r="H55" s="7">
        <v>0.012123</v>
      </c>
      <c r="I55" s="8">
        <f>$I$38*H55</f>
        <v>31.299534719125713</v>
      </c>
    </row>
    <row r="56" spans="1:9" ht="15" customHeight="1">
      <c r="A56" s="57">
        <v>4</v>
      </c>
      <c r="B56" s="120" t="s">
        <v>142</v>
      </c>
      <c r="C56" s="121"/>
      <c r="D56" s="121"/>
      <c r="E56" s="121"/>
      <c r="F56" s="121"/>
      <c r="G56" s="122"/>
      <c r="H56" s="7">
        <v>0.011436</v>
      </c>
      <c r="I56" s="8">
        <f>$I$38*H56</f>
        <v>29.525816963451426</v>
      </c>
    </row>
    <row r="57" spans="1:9" ht="15" customHeight="1">
      <c r="A57" s="57">
        <v>5</v>
      </c>
      <c r="B57" s="120" t="s">
        <v>143</v>
      </c>
      <c r="C57" s="121"/>
      <c r="D57" s="121"/>
      <c r="E57" s="121"/>
      <c r="F57" s="121"/>
      <c r="G57" s="122"/>
      <c r="H57" s="7">
        <v>0.000174</v>
      </c>
      <c r="I57" s="8">
        <f>$I$38*H57</f>
        <v>0.44923855820571423</v>
      </c>
    </row>
    <row r="58" spans="1:9" ht="15" customHeight="1">
      <c r="A58" s="57">
        <v>6</v>
      </c>
      <c r="B58" s="120" t="s">
        <v>144</v>
      </c>
      <c r="C58" s="121"/>
      <c r="D58" s="121"/>
      <c r="E58" s="121"/>
      <c r="F58" s="121"/>
      <c r="G58" s="122"/>
      <c r="H58" s="7">
        <v>0.000442</v>
      </c>
      <c r="I58" s="8">
        <f>$I$38*H58</f>
        <v>1.1411692110742857</v>
      </c>
    </row>
    <row r="59" spans="1:9" ht="15" customHeight="1">
      <c r="A59" s="57">
        <v>7</v>
      </c>
      <c r="B59" s="120" t="s">
        <v>145</v>
      </c>
      <c r="C59" s="121"/>
      <c r="D59" s="121"/>
      <c r="E59" s="121"/>
      <c r="F59" s="121"/>
      <c r="G59" s="122"/>
      <c r="H59" s="7">
        <v>0.000185</v>
      </c>
      <c r="I59" s="8">
        <f>$I$38*H59</f>
        <v>0.4776386969428571</v>
      </c>
    </row>
    <row r="60" spans="1:9" ht="15" customHeight="1">
      <c r="A60" s="57">
        <v>8</v>
      </c>
      <c r="B60" s="120" t="s">
        <v>146</v>
      </c>
      <c r="C60" s="121"/>
      <c r="D60" s="121"/>
      <c r="E60" s="121"/>
      <c r="F60" s="121"/>
      <c r="G60" s="122"/>
      <c r="H60" s="7">
        <v>0.09079</v>
      </c>
      <c r="I60" s="8">
        <f>$I$38*H60</f>
        <v>234.40441781319998</v>
      </c>
    </row>
    <row r="61" spans="1:16" s="13" customFormat="1" ht="15" customHeight="1">
      <c r="A61" s="128" t="s">
        <v>31</v>
      </c>
      <c r="B61" s="129"/>
      <c r="C61" s="129"/>
      <c r="D61" s="129"/>
      <c r="E61" s="129"/>
      <c r="F61" s="129"/>
      <c r="G61" s="130"/>
      <c r="H61" s="11">
        <f>SUM(H53:H60)</f>
        <v>0.24672</v>
      </c>
      <c r="I61" s="56">
        <f>SUM(I53:I60)</f>
        <v>636.9892935661712</v>
      </c>
      <c r="J61"/>
      <c r="K61"/>
      <c r="L61"/>
      <c r="M61"/>
      <c r="N61"/>
      <c r="O61"/>
      <c r="P61"/>
    </row>
    <row r="62" spans="1:9" ht="11.25" customHeight="1">
      <c r="A62" s="18" t="s">
        <v>32</v>
      </c>
      <c r="B62" s="132" t="s">
        <v>33</v>
      </c>
      <c r="C62" s="132"/>
      <c r="D62" s="132"/>
      <c r="E62" s="132"/>
      <c r="F62" s="132"/>
      <c r="G62" s="132"/>
      <c r="H62" s="132"/>
      <c r="I62" s="132"/>
    </row>
    <row r="63" spans="1:9" ht="15" customHeight="1">
      <c r="A63" s="18" t="s">
        <v>34</v>
      </c>
      <c r="B63" s="133" t="s">
        <v>35</v>
      </c>
      <c r="C63" s="133"/>
      <c r="D63" s="133"/>
      <c r="E63" s="133"/>
      <c r="F63" s="133"/>
      <c r="G63" s="133"/>
      <c r="H63" s="133"/>
      <c r="I63" s="133"/>
    </row>
    <row r="64" spans="1:9" ht="33.75" customHeight="1">
      <c r="A64" s="5" t="s">
        <v>36</v>
      </c>
      <c r="B64" s="125" t="s">
        <v>37</v>
      </c>
      <c r="C64" s="126"/>
      <c r="D64" s="126"/>
      <c r="E64" s="126"/>
      <c r="F64" s="126"/>
      <c r="G64" s="127"/>
      <c r="H64" s="5" t="s">
        <v>22</v>
      </c>
      <c r="I64" s="5" t="s">
        <v>23</v>
      </c>
    </row>
    <row r="65" spans="1:9" ht="15" customHeight="1">
      <c r="A65" s="57">
        <v>1</v>
      </c>
      <c r="B65" s="120" t="s">
        <v>147</v>
      </c>
      <c r="C65" s="121"/>
      <c r="D65" s="121"/>
      <c r="E65" s="121"/>
      <c r="F65" s="121"/>
      <c r="G65" s="122"/>
      <c r="H65" s="7">
        <v>0.023627</v>
      </c>
      <c r="I65" s="8">
        <f>$I$38*H65</f>
        <v>61.00091617658856</v>
      </c>
    </row>
    <row r="66" spans="1:9" ht="15" customHeight="1">
      <c r="A66" s="57">
        <v>2</v>
      </c>
      <c r="B66" s="120" t="s">
        <v>148</v>
      </c>
      <c r="C66" s="121"/>
      <c r="D66" s="121"/>
      <c r="E66" s="121"/>
      <c r="F66" s="121"/>
      <c r="G66" s="122"/>
      <c r="H66" s="7">
        <v>0.001717</v>
      </c>
      <c r="I66" s="8">
        <f>$I$38*H66</f>
        <v>4.433003473788571</v>
      </c>
    </row>
    <row r="67" spans="1:9" ht="15" customHeight="1">
      <c r="A67" s="57">
        <v>3</v>
      </c>
      <c r="B67" s="120" t="s">
        <v>149</v>
      </c>
      <c r="C67" s="121"/>
      <c r="D67" s="121"/>
      <c r="E67" s="121"/>
      <c r="F67" s="121"/>
      <c r="G67" s="122"/>
      <c r="H67" s="7">
        <v>0.011813</v>
      </c>
      <c r="I67" s="8">
        <f>$I$38*H67</f>
        <v>30.499167172897142</v>
      </c>
    </row>
    <row r="68" spans="1:16" s="13" customFormat="1" ht="15" customHeight="1">
      <c r="A68" s="128" t="s">
        <v>38</v>
      </c>
      <c r="B68" s="129"/>
      <c r="C68" s="129"/>
      <c r="D68" s="129"/>
      <c r="E68" s="129"/>
      <c r="F68" s="129"/>
      <c r="G68" s="130"/>
      <c r="H68" s="11">
        <f>SUM(H65:H67)</f>
        <v>0.037156999999999996</v>
      </c>
      <c r="I68" s="56">
        <f>SUM(I65:I67)</f>
        <v>95.93308682327428</v>
      </c>
      <c r="J68"/>
      <c r="K68"/>
      <c r="L68"/>
      <c r="M68"/>
      <c r="N68"/>
      <c r="O68"/>
      <c r="P68"/>
    </row>
    <row r="69" ht="4.5" customHeight="1"/>
    <row r="70" spans="1:9" ht="33.75">
      <c r="A70" s="5" t="s">
        <v>39</v>
      </c>
      <c r="B70" s="125" t="s">
        <v>40</v>
      </c>
      <c r="C70" s="126"/>
      <c r="D70" s="126"/>
      <c r="E70" s="126"/>
      <c r="F70" s="126"/>
      <c r="G70" s="127"/>
      <c r="H70" s="5" t="s">
        <v>22</v>
      </c>
      <c r="I70" s="5" t="s">
        <v>23</v>
      </c>
    </row>
    <row r="71" spans="1:9" ht="15" customHeight="1">
      <c r="A71" s="57">
        <v>1</v>
      </c>
      <c r="B71" s="120" t="s">
        <v>150</v>
      </c>
      <c r="C71" s="121"/>
      <c r="D71" s="121"/>
      <c r="E71" s="121"/>
      <c r="F71" s="121"/>
      <c r="G71" s="122"/>
      <c r="H71" s="7">
        <f>(H50*H61)</f>
        <v>0.09079296000000002</v>
      </c>
      <c r="I71" s="8">
        <f>I38*H71</f>
        <v>234.41206003235112</v>
      </c>
    </row>
    <row r="72" spans="1:16" s="13" customFormat="1" ht="15" customHeight="1">
      <c r="A72" s="128" t="s">
        <v>41</v>
      </c>
      <c r="B72" s="129"/>
      <c r="C72" s="129"/>
      <c r="D72" s="129"/>
      <c r="E72" s="129"/>
      <c r="F72" s="129"/>
      <c r="G72" s="130"/>
      <c r="H72" s="11">
        <f>SUM(H71:H71)</f>
        <v>0.09079296000000002</v>
      </c>
      <c r="I72" s="56">
        <f>I71</f>
        <v>234.41206003235112</v>
      </c>
      <c r="J72"/>
      <c r="K72"/>
      <c r="L72"/>
      <c r="M72"/>
      <c r="N72"/>
      <c r="O72"/>
      <c r="P72"/>
    </row>
    <row r="73" ht="4.5" customHeight="1"/>
    <row r="74" spans="1:16" s="13" customFormat="1" ht="15">
      <c r="A74" s="134" t="s">
        <v>42</v>
      </c>
      <c r="B74" s="134"/>
      <c r="C74" s="134"/>
      <c r="D74" s="134"/>
      <c r="E74" s="134"/>
      <c r="F74" s="134"/>
      <c r="G74" s="134"/>
      <c r="H74" s="19">
        <f>H50+H61+H68+H72</f>
        <v>0.7426699600000002</v>
      </c>
      <c r="I74" s="20">
        <f>I50+I61+I68+I72</f>
        <v>1917.4481727189395</v>
      </c>
      <c r="J74"/>
      <c r="K74"/>
      <c r="L74"/>
      <c r="M74"/>
      <c r="N74"/>
      <c r="O74"/>
      <c r="P74"/>
    </row>
    <row r="75" ht="4.5" customHeight="1"/>
    <row r="76" spans="1:9" ht="33.75">
      <c r="A76" s="5" t="s">
        <v>43</v>
      </c>
      <c r="B76" s="125" t="s">
        <v>44</v>
      </c>
      <c r="C76" s="126"/>
      <c r="D76" s="126"/>
      <c r="E76" s="126"/>
      <c r="F76" s="126"/>
      <c r="G76" s="127"/>
      <c r="H76" s="5" t="s">
        <v>22</v>
      </c>
      <c r="I76" s="5" t="s">
        <v>23</v>
      </c>
    </row>
    <row r="77" spans="1:9" ht="15" customHeight="1">
      <c r="A77" s="61">
        <v>1</v>
      </c>
      <c r="B77" s="120" t="s">
        <v>151</v>
      </c>
      <c r="C77" s="121"/>
      <c r="D77" s="121"/>
      <c r="E77" s="121"/>
      <c r="F77" s="121"/>
      <c r="G77" s="122"/>
      <c r="H77" s="7">
        <f>I77/$I$38</f>
        <v>0.08691506836801914</v>
      </c>
      <c r="I77" s="8">
        <f>I88</f>
        <v>224.4</v>
      </c>
    </row>
    <row r="78" spans="1:9" ht="15" customHeight="1">
      <c r="A78" s="61">
        <v>2</v>
      </c>
      <c r="B78" s="120" t="s">
        <v>45</v>
      </c>
      <c r="C78" s="121"/>
      <c r="D78" s="121"/>
      <c r="E78" s="121"/>
      <c r="F78" s="121"/>
      <c r="G78" s="122"/>
      <c r="H78" s="7">
        <f>I78/$I$38</f>
        <v>0.014338662348413857</v>
      </c>
      <c r="I78" s="8">
        <f>I84</f>
        <v>37.02000000000001</v>
      </c>
    </row>
    <row r="79" spans="1:9" ht="15" customHeight="1">
      <c r="A79" s="57">
        <v>3</v>
      </c>
      <c r="B79" s="120" t="s">
        <v>46</v>
      </c>
      <c r="C79" s="121"/>
      <c r="D79" s="121"/>
      <c r="E79" s="121"/>
      <c r="F79" s="121"/>
      <c r="G79" s="122"/>
      <c r="H79" s="7">
        <f>I79/$I$38</f>
        <v>0</v>
      </c>
      <c r="I79" s="8">
        <v>0</v>
      </c>
    </row>
    <row r="80" spans="1:9" ht="15" customHeight="1">
      <c r="A80" s="128" t="s">
        <v>47</v>
      </c>
      <c r="B80" s="129"/>
      <c r="C80" s="129"/>
      <c r="D80" s="129"/>
      <c r="E80" s="129"/>
      <c r="F80" s="129"/>
      <c r="G80" s="130"/>
      <c r="H80" s="11">
        <f>H77+H78+H79</f>
        <v>0.101253730716433</v>
      </c>
      <c r="I80" s="56">
        <f>SUM(I77:I79)</f>
        <v>261.42</v>
      </c>
    </row>
    <row r="81" spans="1:9" ht="4.5" customHeight="1">
      <c r="A81" s="14"/>
      <c r="B81" s="14"/>
      <c r="C81" s="14"/>
      <c r="D81" s="14"/>
      <c r="E81" s="14"/>
      <c r="F81" s="14"/>
      <c r="G81" s="14"/>
      <c r="H81" s="15"/>
      <c r="I81" s="16"/>
    </row>
    <row r="82" spans="1:9" ht="15" customHeight="1">
      <c r="A82" s="137" t="s">
        <v>48</v>
      </c>
      <c r="B82" s="137"/>
      <c r="C82" s="137"/>
      <c r="D82" s="137"/>
      <c r="E82" s="137"/>
      <c r="F82" s="137"/>
      <c r="G82" s="137"/>
      <c r="H82" s="137"/>
      <c r="I82" s="137"/>
    </row>
    <row r="83" spans="1:9" ht="24" customHeight="1">
      <c r="A83" s="123" t="s">
        <v>49</v>
      </c>
      <c r="B83" s="123"/>
      <c r="C83" s="57" t="s">
        <v>50</v>
      </c>
      <c r="D83" s="57" t="s">
        <v>51</v>
      </c>
      <c r="E83" s="57" t="s">
        <v>52</v>
      </c>
      <c r="F83" s="57" t="s">
        <v>53</v>
      </c>
      <c r="G83" s="57" t="s">
        <v>54</v>
      </c>
      <c r="H83" s="7" t="s">
        <v>55</v>
      </c>
      <c r="I83" s="8" t="s">
        <v>56</v>
      </c>
    </row>
    <row r="84" spans="1:9" ht="15" customHeight="1">
      <c r="A84" s="123">
        <f>I12</f>
        <v>4.05</v>
      </c>
      <c r="B84" s="123"/>
      <c r="C84" s="57">
        <f>I13</f>
        <v>15</v>
      </c>
      <c r="D84" s="57">
        <f>I14</f>
        <v>2</v>
      </c>
      <c r="E84" s="60">
        <f>A84*C84*D84</f>
        <v>121.5</v>
      </c>
      <c r="F84" s="8">
        <f>I29</f>
        <v>1408</v>
      </c>
      <c r="G84" s="23">
        <f>I15</f>
        <v>0.06</v>
      </c>
      <c r="H84" s="60">
        <f>F84*G84</f>
        <v>84.47999999999999</v>
      </c>
      <c r="I84" s="8">
        <f>(IF(H84&gt;=E84,0,E84-H84))</f>
        <v>37.02000000000001</v>
      </c>
    </row>
    <row r="85" spans="1:9" ht="4.5" customHeight="1">
      <c r="A85" s="24"/>
      <c r="B85" s="24"/>
      <c r="C85" s="24"/>
      <c r="D85" s="24"/>
      <c r="E85" s="25"/>
      <c r="F85" s="25"/>
      <c r="G85" s="26"/>
      <c r="H85" s="25"/>
      <c r="I85" s="27"/>
    </row>
    <row r="86" spans="1:9" ht="15" customHeight="1">
      <c r="A86" s="137" t="s">
        <v>57</v>
      </c>
      <c r="B86" s="137"/>
      <c r="C86" s="137"/>
      <c r="D86" s="137"/>
      <c r="E86" s="137"/>
      <c r="F86" s="137"/>
      <c r="G86" s="137"/>
      <c r="H86" s="137"/>
      <c r="I86" s="137"/>
    </row>
    <row r="87" spans="1:9" ht="26.25" customHeight="1">
      <c r="A87" s="123" t="s">
        <v>49</v>
      </c>
      <c r="B87" s="123"/>
      <c r="C87" s="57" t="s">
        <v>58</v>
      </c>
      <c r="D87" s="57" t="s">
        <v>51</v>
      </c>
      <c r="E87" s="57" t="s">
        <v>52</v>
      </c>
      <c r="F87" s="57" t="s">
        <v>53</v>
      </c>
      <c r="G87" s="57" t="s">
        <v>54</v>
      </c>
      <c r="H87" s="7" t="str">
        <f>H83</f>
        <v>Valor desconto</v>
      </c>
      <c r="I87" s="8" t="s">
        <v>56</v>
      </c>
    </row>
    <row r="88" spans="1:9" ht="15" customHeight="1">
      <c r="A88" s="135">
        <f>I16</f>
        <v>18.7</v>
      </c>
      <c r="B88" s="135"/>
      <c r="C88" s="57">
        <f>I17</f>
        <v>15</v>
      </c>
      <c r="D88" s="57">
        <f>I18</f>
        <v>1</v>
      </c>
      <c r="E88" s="60">
        <f>A88*C88*D88</f>
        <v>280.5</v>
      </c>
      <c r="F88" s="60">
        <f>E88</f>
        <v>280.5</v>
      </c>
      <c r="G88" s="23">
        <f>I19</f>
        <v>0.2</v>
      </c>
      <c r="H88" s="60">
        <f>F88*G88</f>
        <v>56.1</v>
      </c>
      <c r="I88" s="8">
        <f>(IF(H88&gt;=E88,0,E88-H88))</f>
        <v>224.4</v>
      </c>
    </row>
    <row r="89" ht="4.5" customHeight="1"/>
    <row r="90" spans="1:9" ht="15">
      <c r="A90" s="136" t="s">
        <v>133</v>
      </c>
      <c r="B90" s="136"/>
      <c r="C90" s="136"/>
      <c r="D90" s="136"/>
      <c r="E90" s="136"/>
      <c r="F90" s="136"/>
      <c r="G90" s="136"/>
      <c r="H90" s="29">
        <f>H38+H74+H80</f>
        <v>1.8439236907164331</v>
      </c>
      <c r="I90" s="30">
        <f>I38+I74+I80</f>
        <v>4760.698967004653</v>
      </c>
    </row>
    <row r="91" spans="1:16" s="34" customFormat="1" ht="4.5" customHeight="1">
      <c r="A91" s="31"/>
      <c r="B91" s="31"/>
      <c r="C91" s="31"/>
      <c r="D91" s="31"/>
      <c r="E91" s="31"/>
      <c r="F91" s="31"/>
      <c r="G91" s="31"/>
      <c r="H91" s="32"/>
      <c r="I91" s="33"/>
      <c r="J91"/>
      <c r="K91"/>
      <c r="L91"/>
      <c r="M91"/>
      <c r="N91"/>
      <c r="O91"/>
      <c r="P91"/>
    </row>
    <row r="92" spans="1:9" ht="15">
      <c r="A92" s="124" t="s">
        <v>59</v>
      </c>
      <c r="B92" s="124"/>
      <c r="C92" s="124"/>
      <c r="D92" s="124"/>
      <c r="E92" s="124"/>
      <c r="F92" s="124"/>
      <c r="G92" s="124"/>
      <c r="H92" s="124"/>
      <c r="I92" s="124"/>
    </row>
    <row r="93" spans="1:9" ht="33.75">
      <c r="A93" s="5" t="s">
        <v>20</v>
      </c>
      <c r="B93" s="125" t="s">
        <v>60</v>
      </c>
      <c r="C93" s="126"/>
      <c r="D93" s="126"/>
      <c r="E93" s="126"/>
      <c r="F93" s="126"/>
      <c r="G93" s="127"/>
      <c r="H93" s="5" t="s">
        <v>22</v>
      </c>
      <c r="I93" s="5" t="s">
        <v>23</v>
      </c>
    </row>
    <row r="94" spans="1:9" ht="15" customHeight="1">
      <c r="A94" s="57">
        <v>1</v>
      </c>
      <c r="B94" s="120" t="s">
        <v>61</v>
      </c>
      <c r="C94" s="121"/>
      <c r="D94" s="121"/>
      <c r="E94" s="121"/>
      <c r="F94" s="121"/>
      <c r="G94" s="122"/>
      <c r="H94" s="7">
        <f>I94/$I$105</f>
        <v>0</v>
      </c>
      <c r="I94" s="8">
        <v>0</v>
      </c>
    </row>
    <row r="95" spans="1:9" ht="15" customHeight="1">
      <c r="A95" s="57">
        <v>2</v>
      </c>
      <c r="B95" s="144" t="s">
        <v>123</v>
      </c>
      <c r="C95" s="145"/>
      <c r="D95" s="145"/>
      <c r="E95" s="145"/>
      <c r="F95" s="145"/>
      <c r="G95" s="146"/>
      <c r="H95" s="7">
        <f>I95/$I$105</f>
        <v>0</v>
      </c>
      <c r="I95" s="8">
        <f>IF(F103=10%,G103,0)</f>
        <v>0</v>
      </c>
    </row>
    <row r="96" spans="1:9" ht="15" customHeight="1">
      <c r="A96" s="57">
        <v>3</v>
      </c>
      <c r="B96" s="120" t="s">
        <v>62</v>
      </c>
      <c r="C96" s="121"/>
      <c r="D96" s="121"/>
      <c r="E96" s="121"/>
      <c r="F96" s="121"/>
      <c r="G96" s="122"/>
      <c r="H96" s="7">
        <f>I96/$I$105</f>
        <v>0</v>
      </c>
      <c r="I96" s="8">
        <v>0</v>
      </c>
    </row>
    <row r="97" spans="1:9" ht="15" customHeight="1">
      <c r="A97" s="57">
        <v>4</v>
      </c>
      <c r="B97" s="147" t="s">
        <v>124</v>
      </c>
      <c r="C97" s="148"/>
      <c r="D97" s="148"/>
      <c r="E97" s="148"/>
      <c r="F97" s="148"/>
      <c r="G97" s="149"/>
      <c r="H97" s="7">
        <f>I97/$I$105</f>
        <v>0</v>
      </c>
      <c r="I97" s="8">
        <v>0</v>
      </c>
    </row>
    <row r="98" spans="1:9" ht="15" customHeight="1">
      <c r="A98" s="57">
        <v>5</v>
      </c>
      <c r="B98" s="120" t="s">
        <v>63</v>
      </c>
      <c r="C98" s="121"/>
      <c r="D98" s="121"/>
      <c r="E98" s="121"/>
      <c r="F98" s="121"/>
      <c r="G98" s="122"/>
      <c r="H98" s="7">
        <f>I98/$I$105</f>
        <v>0</v>
      </c>
      <c r="I98" s="8">
        <v>0</v>
      </c>
    </row>
    <row r="99" spans="1:9" ht="15" customHeight="1">
      <c r="A99" s="57">
        <v>6</v>
      </c>
      <c r="B99" s="120" t="s">
        <v>46</v>
      </c>
      <c r="C99" s="121"/>
      <c r="D99" s="121"/>
      <c r="E99" s="121"/>
      <c r="F99" s="121"/>
      <c r="G99" s="122"/>
      <c r="H99" s="7">
        <f>I99/$I$105</f>
        <v>0</v>
      </c>
      <c r="I99" s="8">
        <v>0</v>
      </c>
    </row>
    <row r="100" spans="1:9" ht="15" customHeight="1">
      <c r="A100" s="128" t="s">
        <v>64</v>
      </c>
      <c r="B100" s="129"/>
      <c r="C100" s="129"/>
      <c r="D100" s="129"/>
      <c r="E100" s="129"/>
      <c r="F100" s="129"/>
      <c r="G100" s="130"/>
      <c r="H100" s="11">
        <f>SUM(H94:H99)</f>
        <v>0</v>
      </c>
      <c r="I100" s="17">
        <f>SUM(I94:I99)</f>
        <v>0</v>
      </c>
    </row>
    <row r="101" spans="1:19" ht="30" customHeight="1">
      <c r="A101"/>
      <c r="B101" s="132" t="s">
        <v>125</v>
      </c>
      <c r="C101" s="132"/>
      <c r="D101" s="132"/>
      <c r="E101" s="132"/>
      <c r="F101" s="132"/>
      <c r="G101" s="132"/>
      <c r="H101" s="132"/>
      <c r="I101" s="132"/>
      <c r="Q101"/>
      <c r="R101"/>
      <c r="S101"/>
    </row>
    <row r="102" spans="1:9" ht="5.25" customHeight="1">
      <c r="A102"/>
      <c r="B102"/>
      <c r="C102"/>
      <c r="D102"/>
      <c r="E102"/>
      <c r="F102"/>
      <c r="G102"/>
      <c r="H102"/>
      <c r="I102"/>
    </row>
    <row r="103" spans="1:19" ht="48.75" customHeight="1">
      <c r="A103" s="138" t="s">
        <v>126</v>
      </c>
      <c r="B103" s="139"/>
      <c r="C103" s="139"/>
      <c r="D103" s="139"/>
      <c r="E103" s="140"/>
      <c r="F103" s="35">
        <v>0.2</v>
      </c>
      <c r="G103" s="36">
        <f>I105*F103</f>
        <v>944.7357934009308</v>
      </c>
      <c r="H103" s="37" t="s">
        <v>65</v>
      </c>
      <c r="I103" s="59">
        <f>I78</f>
        <v>37.02000000000001</v>
      </c>
      <c r="Q103"/>
      <c r="R103"/>
      <c r="S103"/>
    </row>
    <row r="104" spans="1:16" s="40" customFormat="1" ht="26.25" customHeight="1">
      <c r="A104" s="141" t="s">
        <v>66</v>
      </c>
      <c r="B104" s="141"/>
      <c r="C104" s="58" t="s">
        <v>67</v>
      </c>
      <c r="D104" s="58" t="s">
        <v>68</v>
      </c>
      <c r="E104" s="58" t="s">
        <v>69</v>
      </c>
      <c r="F104" s="58" t="s">
        <v>70</v>
      </c>
      <c r="G104" s="58" t="s">
        <v>134</v>
      </c>
      <c r="H104" s="37" t="s">
        <v>71</v>
      </c>
      <c r="I104" s="39" t="s">
        <v>72</v>
      </c>
      <c r="J104"/>
      <c r="K104"/>
      <c r="L104"/>
      <c r="M104"/>
      <c r="N104"/>
      <c r="O104"/>
      <c r="P104"/>
    </row>
    <row r="105" spans="1:9" ht="16.5" customHeight="1">
      <c r="A105" s="142">
        <f>I38</f>
        <v>2581.830794285714</v>
      </c>
      <c r="B105" s="142"/>
      <c r="C105" s="59">
        <f>I50</f>
        <v>950.113732297143</v>
      </c>
      <c r="D105" s="59">
        <f>I61</f>
        <v>636.9892935661712</v>
      </c>
      <c r="E105" s="59">
        <f>I68</f>
        <v>95.93308682327428</v>
      </c>
      <c r="F105" s="59">
        <f>I72</f>
        <v>234.41206003235112</v>
      </c>
      <c r="G105" s="59">
        <f>I80</f>
        <v>261.42</v>
      </c>
      <c r="H105" s="59">
        <f>A105+C105+D105+E105+F105+G105</f>
        <v>4760.698967004654</v>
      </c>
      <c r="I105" s="59">
        <f>H105-I103</f>
        <v>4723.678967004654</v>
      </c>
    </row>
    <row r="106" spans="1:9" ht="4.5" customHeight="1">
      <c r="A106" s="18"/>
      <c r="B106" s="143"/>
      <c r="C106" s="143"/>
      <c r="D106" s="143"/>
      <c r="E106" s="143"/>
      <c r="F106" s="143"/>
      <c r="G106" s="143"/>
      <c r="H106" s="143"/>
      <c r="I106" s="143"/>
    </row>
    <row r="107" spans="1:9" ht="33.75">
      <c r="A107" s="5" t="s">
        <v>25</v>
      </c>
      <c r="B107" s="125" t="s">
        <v>73</v>
      </c>
      <c r="C107" s="126"/>
      <c r="D107" s="126"/>
      <c r="E107" s="126"/>
      <c r="F107" s="126"/>
      <c r="G107" s="127"/>
      <c r="H107" s="5" t="s">
        <v>22</v>
      </c>
      <c r="I107" s="5" t="s">
        <v>23</v>
      </c>
    </row>
    <row r="108" spans="1:9" ht="15" customHeight="1">
      <c r="A108" s="57">
        <v>1</v>
      </c>
      <c r="B108" s="120" t="s">
        <v>74</v>
      </c>
      <c r="C108" s="121"/>
      <c r="D108" s="121"/>
      <c r="E108" s="121"/>
      <c r="F108" s="121"/>
      <c r="G108" s="122"/>
      <c r="H108" s="7">
        <f>I108/$I$105</f>
        <v>0</v>
      </c>
      <c r="I108" s="8">
        <v>0</v>
      </c>
    </row>
    <row r="109" spans="1:9" ht="15" customHeight="1">
      <c r="A109" s="57">
        <v>2</v>
      </c>
      <c r="B109" s="120" t="s">
        <v>75</v>
      </c>
      <c r="C109" s="121"/>
      <c r="D109" s="121"/>
      <c r="E109" s="121"/>
      <c r="F109" s="121"/>
      <c r="G109" s="122"/>
      <c r="H109" s="7">
        <f>I109/$I$105</f>
        <v>0</v>
      </c>
      <c r="I109" s="8">
        <v>0</v>
      </c>
    </row>
    <row r="110" spans="1:9" ht="15" customHeight="1">
      <c r="A110" s="128" t="s">
        <v>76</v>
      </c>
      <c r="B110" s="129"/>
      <c r="C110" s="129"/>
      <c r="D110" s="129"/>
      <c r="E110" s="129"/>
      <c r="F110" s="129"/>
      <c r="G110" s="130"/>
      <c r="H110" s="11">
        <f>H108+H109</f>
        <v>0</v>
      </c>
      <c r="I110" s="56">
        <f>I108+I109</f>
        <v>0</v>
      </c>
    </row>
    <row r="111" ht="4.5" customHeight="1"/>
    <row r="112" spans="1:9" ht="33.75">
      <c r="A112" s="5" t="s">
        <v>29</v>
      </c>
      <c r="B112" s="125" t="s">
        <v>77</v>
      </c>
      <c r="C112" s="126"/>
      <c r="D112" s="126"/>
      <c r="E112" s="126"/>
      <c r="F112" s="126"/>
      <c r="G112" s="127"/>
      <c r="H112" s="5" t="s">
        <v>22</v>
      </c>
      <c r="I112" s="5" t="s">
        <v>23</v>
      </c>
    </row>
    <row r="113" spans="1:9" ht="15" customHeight="1">
      <c r="A113" s="57">
        <v>1</v>
      </c>
      <c r="B113" s="120" t="s">
        <v>77</v>
      </c>
      <c r="C113" s="121"/>
      <c r="D113" s="121"/>
      <c r="E113" s="121"/>
      <c r="F113" s="121"/>
      <c r="G113" s="122"/>
      <c r="H113" s="7">
        <f>I113/I105</f>
        <v>0</v>
      </c>
      <c r="I113" s="8">
        <v>0</v>
      </c>
    </row>
    <row r="114" spans="1:9" ht="15" customHeight="1">
      <c r="A114" s="128" t="s">
        <v>76</v>
      </c>
      <c r="B114" s="129"/>
      <c r="C114" s="129"/>
      <c r="D114" s="129"/>
      <c r="E114" s="129"/>
      <c r="F114" s="129"/>
      <c r="G114" s="130"/>
      <c r="H114" s="11">
        <f>H113</f>
        <v>0</v>
      </c>
      <c r="I114" s="56">
        <f>I113</f>
        <v>0</v>
      </c>
    </row>
    <row r="115" spans="1:9" ht="4.5" customHeight="1">
      <c r="A115" s="14"/>
      <c r="B115" s="14"/>
      <c r="C115" s="14"/>
      <c r="D115" s="14"/>
      <c r="E115" s="14"/>
      <c r="F115" s="14"/>
      <c r="G115" s="14"/>
      <c r="H115" s="15"/>
      <c r="I115" s="16"/>
    </row>
    <row r="116" spans="1:9" ht="34.5" customHeight="1">
      <c r="A116" s="150" t="s">
        <v>78</v>
      </c>
      <c r="B116" s="150"/>
      <c r="C116" s="150"/>
      <c r="D116" s="150"/>
      <c r="E116" s="150"/>
      <c r="F116" s="35">
        <v>0.18</v>
      </c>
      <c r="G116" s="36">
        <f>I118*F116</f>
        <v>850.2622140608377</v>
      </c>
      <c r="H116" s="37" t="s">
        <v>65</v>
      </c>
      <c r="I116" s="59">
        <f>I78</f>
        <v>37.02000000000001</v>
      </c>
    </row>
    <row r="117" spans="1:16" s="40" customFormat="1" ht="19.5" customHeight="1">
      <c r="A117" s="141" t="s">
        <v>66</v>
      </c>
      <c r="B117" s="141"/>
      <c r="C117" s="58" t="s">
        <v>67</v>
      </c>
      <c r="D117" s="58" t="s">
        <v>68</v>
      </c>
      <c r="E117" s="58" t="s">
        <v>69</v>
      </c>
      <c r="F117" s="58" t="s">
        <v>70</v>
      </c>
      <c r="G117" s="58" t="s">
        <v>134</v>
      </c>
      <c r="H117" s="37" t="s">
        <v>71</v>
      </c>
      <c r="I117" s="39" t="s">
        <v>72</v>
      </c>
      <c r="J117"/>
      <c r="K117"/>
      <c r="L117"/>
      <c r="M117"/>
      <c r="N117"/>
      <c r="O117"/>
      <c r="P117"/>
    </row>
    <row r="118" spans="1:9" ht="16.5" customHeight="1">
      <c r="A118" s="142">
        <f>I38</f>
        <v>2581.830794285714</v>
      </c>
      <c r="B118" s="142"/>
      <c r="C118" s="59">
        <f>I50</f>
        <v>950.113732297143</v>
      </c>
      <c r="D118" s="59">
        <f>I61</f>
        <v>636.9892935661712</v>
      </c>
      <c r="E118" s="59">
        <f>I68</f>
        <v>95.93308682327428</v>
      </c>
      <c r="F118" s="59">
        <f>I72</f>
        <v>234.41206003235112</v>
      </c>
      <c r="G118" s="59">
        <f>I80</f>
        <v>261.42</v>
      </c>
      <c r="H118" s="59">
        <f>A118+C118+D118+E118+F118+G118</f>
        <v>4760.698967004654</v>
      </c>
      <c r="I118" s="59">
        <f>H118-I116</f>
        <v>4723.678967004654</v>
      </c>
    </row>
    <row r="119" ht="4.5" customHeight="1"/>
    <row r="120" spans="1:9" ht="15">
      <c r="A120" s="136" t="s">
        <v>79</v>
      </c>
      <c r="B120" s="136"/>
      <c r="C120" s="136"/>
      <c r="D120" s="136"/>
      <c r="E120" s="136"/>
      <c r="F120" s="136"/>
      <c r="G120" s="136"/>
      <c r="H120" s="29">
        <f>H100+H110+H114</f>
        <v>0</v>
      </c>
      <c r="I120" s="30">
        <f>I100+I110+I114</f>
        <v>0</v>
      </c>
    </row>
    <row r="121" ht="4.5" customHeight="1"/>
    <row r="122" spans="1:9" ht="15">
      <c r="A122" s="124" t="s">
        <v>80</v>
      </c>
      <c r="B122" s="124"/>
      <c r="C122" s="124"/>
      <c r="D122" s="124"/>
      <c r="E122" s="124"/>
      <c r="F122" s="124"/>
      <c r="G122" s="124"/>
      <c r="H122" s="124"/>
      <c r="I122" s="124"/>
    </row>
    <row r="123" spans="1:9" ht="33.75">
      <c r="A123" s="5" t="s">
        <v>20</v>
      </c>
      <c r="B123" s="125" t="s">
        <v>81</v>
      </c>
      <c r="C123" s="126"/>
      <c r="D123" s="126"/>
      <c r="E123" s="126"/>
      <c r="F123" s="126"/>
      <c r="G123" s="127"/>
      <c r="H123" s="5" t="s">
        <v>22</v>
      </c>
      <c r="I123" s="5" t="s">
        <v>23</v>
      </c>
    </row>
    <row r="124" spans="1:9" ht="15" customHeight="1">
      <c r="A124" s="57">
        <v>1</v>
      </c>
      <c r="B124" s="120" t="s">
        <v>82</v>
      </c>
      <c r="C124" s="121"/>
      <c r="D124" s="121"/>
      <c r="E124" s="121"/>
      <c r="F124" s="121"/>
      <c r="G124" s="122"/>
      <c r="H124" s="7">
        <f>I124/$I$90</f>
        <v>0.0069259456579648365</v>
      </c>
      <c r="I124" s="8">
        <f>($D$134/$E$136)*H134</f>
        <v>32.97234233940356</v>
      </c>
    </row>
    <row r="125" spans="1:9" ht="15" customHeight="1">
      <c r="A125" s="57">
        <v>2</v>
      </c>
      <c r="B125" s="120" t="s">
        <v>83</v>
      </c>
      <c r="C125" s="121"/>
      <c r="D125" s="121"/>
      <c r="E125" s="121"/>
      <c r="F125" s="121"/>
      <c r="G125" s="122"/>
      <c r="H125" s="7">
        <f>I125/$I$90</f>
        <v>0.031965903036760786</v>
      </c>
      <c r="I125" s="8">
        <f>($D$134/$E$136)*H135</f>
        <v>152.180041566478</v>
      </c>
    </row>
    <row r="126" spans="1:9" ht="15" customHeight="1">
      <c r="A126" s="57">
        <v>3</v>
      </c>
      <c r="B126" s="120" t="s">
        <v>11</v>
      </c>
      <c r="C126" s="121"/>
      <c r="D126" s="121"/>
      <c r="E126" s="121"/>
      <c r="F126" s="121"/>
      <c r="G126" s="122"/>
      <c r="H126" s="7">
        <f>I126/$I$90</f>
        <v>0.026638252530633993</v>
      </c>
      <c r="I126" s="8">
        <f>($D$134/$E$136)*H136</f>
        <v>126.81670130539834</v>
      </c>
    </row>
    <row r="127" spans="1:9" ht="15" customHeight="1">
      <c r="A127" s="57">
        <v>4</v>
      </c>
      <c r="B127" s="120" t="s">
        <v>84</v>
      </c>
      <c r="C127" s="121"/>
      <c r="D127" s="121"/>
      <c r="E127" s="121"/>
      <c r="F127" s="121"/>
      <c r="G127" s="122"/>
      <c r="H127" s="7">
        <f>I127/$I$90</f>
        <v>0</v>
      </c>
      <c r="I127" s="8">
        <v>0</v>
      </c>
    </row>
    <row r="128" spans="1:9" ht="15" customHeight="1">
      <c r="A128" s="57">
        <v>5</v>
      </c>
      <c r="B128" s="120" t="s">
        <v>46</v>
      </c>
      <c r="C128" s="121"/>
      <c r="D128" s="121"/>
      <c r="E128" s="121"/>
      <c r="F128" s="121"/>
      <c r="G128" s="122"/>
      <c r="H128" s="7">
        <f>I128/$I$90</f>
        <v>0</v>
      </c>
      <c r="I128" s="8">
        <v>0</v>
      </c>
    </row>
    <row r="129" spans="1:9" ht="15" customHeight="1">
      <c r="A129" s="128" t="s">
        <v>85</v>
      </c>
      <c r="B129" s="129"/>
      <c r="C129" s="129"/>
      <c r="D129" s="129"/>
      <c r="E129" s="129"/>
      <c r="F129" s="129"/>
      <c r="G129" s="130"/>
      <c r="H129" s="11">
        <f>SUM(H124:H128)</f>
        <v>0.06553010122535961</v>
      </c>
      <c r="I129" s="56">
        <f>SUM(I124:I128)</f>
        <v>311.9690852112799</v>
      </c>
    </row>
    <row r="130" spans="1:9" ht="11.25" customHeight="1">
      <c r="A130" s="18" t="s">
        <v>86</v>
      </c>
      <c r="B130" s="132" t="s">
        <v>87</v>
      </c>
      <c r="C130" s="132"/>
      <c r="D130" s="132"/>
      <c r="E130" s="132"/>
      <c r="F130" s="132"/>
      <c r="G130" s="132"/>
      <c r="H130" s="132"/>
      <c r="I130" s="132"/>
    </row>
    <row r="131" spans="1:9" ht="21.75" customHeight="1">
      <c r="A131" s="18" t="s">
        <v>88</v>
      </c>
      <c r="B131" s="151" t="s">
        <v>89</v>
      </c>
      <c r="C131" s="151"/>
      <c r="D131" s="151"/>
      <c r="E131" s="151"/>
      <c r="F131" s="151"/>
      <c r="G131" s="151"/>
      <c r="H131" s="151"/>
      <c r="I131" s="151"/>
    </row>
    <row r="132" spans="1:9" ht="13.5" customHeight="1">
      <c r="A132" s="152" t="s">
        <v>90</v>
      </c>
      <c r="B132" s="152"/>
      <c r="C132" s="152"/>
      <c r="D132" s="152"/>
      <c r="E132" s="152"/>
      <c r="F132" s="152"/>
      <c r="G132" s="152"/>
      <c r="H132" s="152"/>
      <c r="I132" s="152"/>
    </row>
    <row r="133" spans="1:9" ht="13.5" customHeight="1">
      <c r="A133" s="153" t="s">
        <v>91</v>
      </c>
      <c r="B133" s="153"/>
      <c r="C133" s="57" t="s">
        <v>92</v>
      </c>
      <c r="D133" s="123" t="s">
        <v>93</v>
      </c>
      <c r="E133" s="94"/>
      <c r="F133" s="57" t="s">
        <v>94</v>
      </c>
      <c r="G133" s="57" t="s">
        <v>95</v>
      </c>
      <c r="H133" s="154" t="s">
        <v>121</v>
      </c>
      <c r="I133" s="154"/>
    </row>
    <row r="134" spans="1:9" ht="13.5" customHeight="1">
      <c r="A134" s="159">
        <f>I90</f>
        <v>4760.698967004653</v>
      </c>
      <c r="B134" s="160"/>
      <c r="C134" s="8">
        <f>I120</f>
        <v>0</v>
      </c>
      <c r="D134" s="161">
        <f>A134+C134</f>
        <v>4760.698967004653</v>
      </c>
      <c r="E134" s="162"/>
      <c r="F134" s="57" t="s">
        <v>82</v>
      </c>
      <c r="G134" s="28">
        <v>0.0165</v>
      </c>
      <c r="H134" s="156">
        <v>0.0065</v>
      </c>
      <c r="I134" s="156"/>
    </row>
    <row r="135" spans="1:9" ht="13.5" customHeight="1">
      <c r="A135" s="155" t="s">
        <v>172</v>
      </c>
      <c r="B135" s="155"/>
      <c r="C135" s="57">
        <v>1</v>
      </c>
      <c r="D135" s="41">
        <v>0.1175</v>
      </c>
      <c r="E135" s="49">
        <v>0.8825000000000001</v>
      </c>
      <c r="F135" s="57" t="s">
        <v>83</v>
      </c>
      <c r="G135" s="28">
        <v>0.076</v>
      </c>
      <c r="H135" s="156">
        <v>0.03</v>
      </c>
      <c r="I135" s="156"/>
    </row>
    <row r="136" spans="1:9" ht="19.5" customHeight="1">
      <c r="A136" s="155" t="s">
        <v>170</v>
      </c>
      <c r="B136" s="155"/>
      <c r="C136" s="57">
        <v>1</v>
      </c>
      <c r="D136" s="76">
        <f>H138</f>
        <v>0.0615</v>
      </c>
      <c r="E136" s="77">
        <f>C136-D136</f>
        <v>0.9385</v>
      </c>
      <c r="F136" s="57" t="s">
        <v>11</v>
      </c>
      <c r="G136" s="28">
        <f>I10</f>
        <v>0.025</v>
      </c>
      <c r="H136" s="156">
        <f>I10</f>
        <v>0.025</v>
      </c>
      <c r="I136" s="156"/>
    </row>
    <row r="137" spans="1:9" ht="13.5" customHeight="1">
      <c r="A137" s="155" t="s">
        <v>171</v>
      </c>
      <c r="B137" s="155"/>
      <c r="C137" s="57">
        <v>1</v>
      </c>
      <c r="D137" s="42">
        <v>0.0654</v>
      </c>
      <c r="E137" s="43">
        <v>0.9346</v>
      </c>
      <c r="F137" s="57" t="s">
        <v>96</v>
      </c>
      <c r="G137" s="28">
        <v>0</v>
      </c>
      <c r="H137" s="156">
        <v>0</v>
      </c>
      <c r="I137" s="156"/>
    </row>
    <row r="138" spans="1:9" ht="19.5" customHeight="1" thickBot="1">
      <c r="A138" s="50" t="s">
        <v>97</v>
      </c>
      <c r="B138" s="157" t="s">
        <v>98</v>
      </c>
      <c r="C138" s="157"/>
      <c r="D138" s="157"/>
      <c r="E138" s="157"/>
      <c r="F138" s="61" t="s">
        <v>99</v>
      </c>
      <c r="G138" s="51">
        <f>SUM(G134:G137)</f>
        <v>0.1175</v>
      </c>
      <c r="H138" s="158">
        <f>SUM(H134:I137)</f>
        <v>0.0615</v>
      </c>
      <c r="I138" s="158"/>
    </row>
    <row r="139" spans="1:9" ht="61.5" customHeight="1" thickBot="1">
      <c r="A139" s="167" t="s">
        <v>122</v>
      </c>
      <c r="B139" s="168"/>
      <c r="C139" s="168"/>
      <c r="D139" s="168"/>
      <c r="E139" s="168"/>
      <c r="F139" s="168"/>
      <c r="G139" s="168"/>
      <c r="H139" s="168"/>
      <c r="I139" s="169"/>
    </row>
    <row r="140" spans="1:9" ht="4.5" customHeight="1">
      <c r="A140" s="44"/>
      <c r="B140" s="170"/>
      <c r="C140" s="170"/>
      <c r="D140" s="170"/>
      <c r="E140" s="170"/>
      <c r="F140" s="170"/>
      <c r="G140" s="170"/>
      <c r="H140" s="170"/>
      <c r="I140" s="170"/>
    </row>
    <row r="141" spans="1:9" ht="15">
      <c r="A141" s="136" t="s">
        <v>100</v>
      </c>
      <c r="B141" s="136"/>
      <c r="C141" s="136"/>
      <c r="D141" s="136"/>
      <c r="E141" s="136"/>
      <c r="F141" s="136"/>
      <c r="G141" s="136"/>
      <c r="H141" s="29">
        <f>H129</f>
        <v>0.06553010122535961</v>
      </c>
      <c r="I141" s="30">
        <f>I129</f>
        <v>311.9690852112799</v>
      </c>
    </row>
    <row r="142" ht="4.5" customHeight="1"/>
    <row r="143" spans="1:9" ht="15">
      <c r="A143" s="171" t="s">
        <v>101</v>
      </c>
      <c r="B143" s="171"/>
      <c r="C143" s="171"/>
      <c r="D143" s="171"/>
      <c r="E143" s="171"/>
      <c r="F143" s="171"/>
      <c r="G143" s="171"/>
      <c r="H143" s="171"/>
      <c r="I143" s="171"/>
    </row>
    <row r="144" spans="1:9" ht="15">
      <c r="A144" s="124" t="s">
        <v>19</v>
      </c>
      <c r="B144" s="124"/>
      <c r="C144" s="124"/>
      <c r="D144" s="124"/>
      <c r="E144" s="124"/>
      <c r="F144" s="124"/>
      <c r="G144" s="124"/>
      <c r="H144" s="124"/>
      <c r="I144" s="124"/>
    </row>
    <row r="145" spans="1:9" ht="15" customHeight="1">
      <c r="A145" s="57">
        <v>1</v>
      </c>
      <c r="B145" s="120" t="s">
        <v>127</v>
      </c>
      <c r="C145" s="121"/>
      <c r="D145" s="121"/>
      <c r="E145" s="121"/>
      <c r="F145" s="121"/>
      <c r="G145" s="122"/>
      <c r="H145" s="7">
        <f>I145/$G$162</f>
        <v>0.508969001659368</v>
      </c>
      <c r="I145" s="45">
        <f>I38</f>
        <v>2581.830794285714</v>
      </c>
    </row>
    <row r="146" spans="1:9" ht="15" customHeight="1">
      <c r="A146" s="57">
        <v>2</v>
      </c>
      <c r="B146" s="120" t="s">
        <v>102</v>
      </c>
      <c r="C146" s="121"/>
      <c r="D146" s="121"/>
      <c r="E146" s="121"/>
      <c r="F146" s="121"/>
      <c r="G146" s="122"/>
      <c r="H146" s="7">
        <f>I146/$G$162</f>
        <v>0.37799598810360274</v>
      </c>
      <c r="I146" s="45">
        <f>I50+I61+I68+I72</f>
        <v>1917.4481727189395</v>
      </c>
    </row>
    <row r="147" spans="1:9" ht="15" customHeight="1">
      <c r="A147" s="57">
        <v>3</v>
      </c>
      <c r="B147" s="163" t="s">
        <v>128</v>
      </c>
      <c r="C147" s="163"/>
      <c r="D147" s="163"/>
      <c r="E147" s="163"/>
      <c r="F147" s="163"/>
      <c r="G147" s="163"/>
      <c r="H147" s="7">
        <f>I147/$G$162</f>
        <v>0.05153501023702938</v>
      </c>
      <c r="I147" s="45">
        <f>I80</f>
        <v>261.42</v>
      </c>
    </row>
    <row r="148" spans="1:16" s="13" customFormat="1" ht="15" customHeight="1">
      <c r="A148" s="164" t="s">
        <v>103</v>
      </c>
      <c r="B148" s="165"/>
      <c r="C148" s="165"/>
      <c r="D148" s="165"/>
      <c r="E148" s="165"/>
      <c r="F148" s="165"/>
      <c r="G148" s="166"/>
      <c r="H148" s="29">
        <f>H145+H146+H147</f>
        <v>0.9385000000000001</v>
      </c>
      <c r="I148" s="30">
        <f>I145+I146+I147</f>
        <v>4760.698967004653</v>
      </c>
      <c r="J148"/>
      <c r="K148"/>
      <c r="L148"/>
      <c r="M148"/>
      <c r="N148"/>
      <c r="O148"/>
      <c r="P148"/>
    </row>
    <row r="149" ht="4.5" customHeight="1"/>
    <row r="150" spans="1:9" ht="15">
      <c r="A150" s="124" t="s">
        <v>59</v>
      </c>
      <c r="B150" s="124"/>
      <c r="C150" s="124"/>
      <c r="D150" s="124"/>
      <c r="E150" s="124"/>
      <c r="F150" s="124"/>
      <c r="G150" s="124"/>
      <c r="H150" s="124"/>
      <c r="I150" s="124"/>
    </row>
    <row r="151" spans="1:9" ht="15" customHeight="1">
      <c r="A151" s="57">
        <v>1</v>
      </c>
      <c r="B151" s="120" t="s">
        <v>129</v>
      </c>
      <c r="C151" s="121"/>
      <c r="D151" s="121"/>
      <c r="E151" s="121"/>
      <c r="F151" s="121"/>
      <c r="G151" s="122"/>
      <c r="H151" s="7">
        <f>I151/$G$162</f>
        <v>0</v>
      </c>
      <c r="I151" s="8">
        <f>I100</f>
        <v>0</v>
      </c>
    </row>
    <row r="152" spans="1:9" ht="15" customHeight="1">
      <c r="A152" s="57">
        <v>2</v>
      </c>
      <c r="B152" s="120" t="s">
        <v>130</v>
      </c>
      <c r="C152" s="121"/>
      <c r="D152" s="121"/>
      <c r="E152" s="121"/>
      <c r="F152" s="121"/>
      <c r="G152" s="122"/>
      <c r="H152" s="7">
        <f>I152/$G$162</f>
        <v>0</v>
      </c>
      <c r="I152" s="8">
        <f>I110</f>
        <v>0</v>
      </c>
    </row>
    <row r="153" spans="1:9" ht="15" customHeight="1">
      <c r="A153" s="57">
        <v>3</v>
      </c>
      <c r="B153" s="120" t="s">
        <v>131</v>
      </c>
      <c r="C153" s="121"/>
      <c r="D153" s="121"/>
      <c r="E153" s="121"/>
      <c r="F153" s="121"/>
      <c r="G153" s="122"/>
      <c r="H153" s="7">
        <f>I153/$G$162</f>
        <v>0</v>
      </c>
      <c r="I153" s="8">
        <f>I114</f>
        <v>0</v>
      </c>
    </row>
    <row r="154" spans="1:9" ht="15" customHeight="1">
      <c r="A154" s="164" t="s">
        <v>104</v>
      </c>
      <c r="B154" s="165"/>
      <c r="C154" s="165"/>
      <c r="D154" s="165"/>
      <c r="E154" s="165"/>
      <c r="F154" s="165"/>
      <c r="G154" s="166"/>
      <c r="H154" s="29">
        <f>H151+H152+H153</f>
        <v>0</v>
      </c>
      <c r="I154" s="30">
        <f>I151+I152+I153</f>
        <v>0</v>
      </c>
    </row>
    <row r="155" ht="4.5" customHeight="1"/>
    <row r="156" spans="1:9" ht="15">
      <c r="A156" s="124" t="s">
        <v>80</v>
      </c>
      <c r="B156" s="124"/>
      <c r="C156" s="124"/>
      <c r="D156" s="124"/>
      <c r="E156" s="124"/>
      <c r="F156" s="124"/>
      <c r="G156" s="124"/>
      <c r="H156" s="124"/>
      <c r="I156" s="124"/>
    </row>
    <row r="157" spans="1:9" ht="15" customHeight="1">
      <c r="A157" s="57">
        <v>1</v>
      </c>
      <c r="B157" s="120" t="s">
        <v>132</v>
      </c>
      <c r="C157" s="121"/>
      <c r="D157" s="121"/>
      <c r="E157" s="121"/>
      <c r="F157" s="121"/>
      <c r="G157" s="122"/>
      <c r="H157" s="7">
        <f>I157/$G$162</f>
        <v>0.0615</v>
      </c>
      <c r="I157" s="8">
        <f>I129</f>
        <v>311.9690852112799</v>
      </c>
    </row>
    <row r="158" spans="1:9" ht="15" customHeight="1">
      <c r="A158" s="164" t="s">
        <v>105</v>
      </c>
      <c r="B158" s="165"/>
      <c r="C158" s="165"/>
      <c r="D158" s="165"/>
      <c r="E158" s="165"/>
      <c r="F158" s="165"/>
      <c r="G158" s="166"/>
      <c r="H158" s="29">
        <f>H157</f>
        <v>0.0615</v>
      </c>
      <c r="I158" s="30">
        <f>I129</f>
        <v>311.9690852112799</v>
      </c>
    </row>
    <row r="159" ht="4.5" customHeight="1"/>
    <row r="160" spans="1:9" ht="15">
      <c r="A160" s="179" t="s">
        <v>101</v>
      </c>
      <c r="B160" s="179"/>
      <c r="C160" s="179"/>
      <c r="D160" s="179"/>
      <c r="E160" s="179"/>
      <c r="F160" s="179"/>
      <c r="G160" s="179"/>
      <c r="H160" s="179"/>
      <c r="I160" s="179"/>
    </row>
    <row r="161" spans="1:9" ht="45">
      <c r="A161" s="172" t="s">
        <v>106</v>
      </c>
      <c r="B161" s="172"/>
      <c r="C161" s="172"/>
      <c r="D161" s="172"/>
      <c r="E161" s="172"/>
      <c r="F161" s="172"/>
      <c r="G161" s="55" t="s">
        <v>107</v>
      </c>
      <c r="H161" s="55" t="s">
        <v>108</v>
      </c>
      <c r="I161" s="55" t="s">
        <v>109</v>
      </c>
    </row>
    <row r="162" spans="1:9" ht="15">
      <c r="A162" s="173" t="str">
        <f>G5</f>
        <v>VIGILANTE 12h - CBO 5173</v>
      </c>
      <c r="B162" s="174"/>
      <c r="C162" s="174"/>
      <c r="D162" s="174"/>
      <c r="E162" s="174"/>
      <c r="F162" s="175"/>
      <c r="G162" s="47">
        <f>I148+I154+I158</f>
        <v>5072.668052215933</v>
      </c>
      <c r="H162" s="55">
        <v>2</v>
      </c>
      <c r="I162" s="47">
        <f>G162*H162</f>
        <v>10145.336104431866</v>
      </c>
    </row>
    <row r="163" spans="1:9" ht="15">
      <c r="A163" s="173"/>
      <c r="B163" s="174"/>
      <c r="C163" s="174"/>
      <c r="D163" s="174"/>
      <c r="E163" s="174"/>
      <c r="F163" s="175"/>
      <c r="G163" s="55"/>
      <c r="H163" s="55"/>
      <c r="I163" s="47"/>
    </row>
    <row r="164" spans="1:16" s="13" customFormat="1" ht="15">
      <c r="A164" s="176" t="s">
        <v>163</v>
      </c>
      <c r="B164" s="177"/>
      <c r="C164" s="177"/>
      <c r="D164" s="177"/>
      <c r="E164" s="177"/>
      <c r="F164" s="177"/>
      <c r="G164" s="177"/>
      <c r="H164" s="178"/>
      <c r="I164" s="48">
        <f>I162+I163</f>
        <v>10145.336104431866</v>
      </c>
      <c r="J164"/>
      <c r="K164"/>
      <c r="L164"/>
      <c r="M164"/>
      <c r="N164"/>
      <c r="O164"/>
      <c r="P164"/>
    </row>
  </sheetData>
  <sheetProtection/>
  <mergeCells count="151">
    <mergeCell ref="K21:P22"/>
    <mergeCell ref="A163:F163"/>
    <mergeCell ref="A164:H164"/>
    <mergeCell ref="A156:I156"/>
    <mergeCell ref="B157:G157"/>
    <mergeCell ref="A158:G158"/>
    <mergeCell ref="A160:I160"/>
    <mergeCell ref="A161:F161"/>
    <mergeCell ref="A162:F162"/>
    <mergeCell ref="A148:G148"/>
    <mergeCell ref="A150:I150"/>
    <mergeCell ref="B151:G151"/>
    <mergeCell ref="B152:G152"/>
    <mergeCell ref="B153:G153"/>
    <mergeCell ref="A154:G154"/>
    <mergeCell ref="A141:G141"/>
    <mergeCell ref="A143:I143"/>
    <mergeCell ref="A144:I144"/>
    <mergeCell ref="B145:G145"/>
    <mergeCell ref="B146:G146"/>
    <mergeCell ref="B147:G147"/>
    <mergeCell ref="A137:B137"/>
    <mergeCell ref="H137:I137"/>
    <mergeCell ref="B138:E138"/>
    <mergeCell ref="H138:I138"/>
    <mergeCell ref="A139:I139"/>
    <mergeCell ref="B140:I140"/>
    <mergeCell ref="A134:B134"/>
    <mergeCell ref="D134:E134"/>
    <mergeCell ref="H134:I134"/>
    <mergeCell ref="A135:B135"/>
    <mergeCell ref="H135:I135"/>
    <mergeCell ref="A136:B136"/>
    <mergeCell ref="H136:I136"/>
    <mergeCell ref="B130:I130"/>
    <mergeCell ref="B131:I131"/>
    <mergeCell ref="A132:I132"/>
    <mergeCell ref="A133:B133"/>
    <mergeCell ref="D133:E133"/>
    <mergeCell ref="H133:I133"/>
    <mergeCell ref="B124:G124"/>
    <mergeCell ref="B125:G125"/>
    <mergeCell ref="B126:G126"/>
    <mergeCell ref="B127:G127"/>
    <mergeCell ref="B128:G128"/>
    <mergeCell ref="A129:G129"/>
    <mergeCell ref="A116:E116"/>
    <mergeCell ref="A117:B117"/>
    <mergeCell ref="A118:B118"/>
    <mergeCell ref="A120:G120"/>
    <mergeCell ref="A122:I122"/>
    <mergeCell ref="B123:G123"/>
    <mergeCell ref="B108:G108"/>
    <mergeCell ref="B109:G109"/>
    <mergeCell ref="A110:G110"/>
    <mergeCell ref="B112:G112"/>
    <mergeCell ref="B113:G113"/>
    <mergeCell ref="A114:G114"/>
    <mergeCell ref="B101:I101"/>
    <mergeCell ref="A103:E103"/>
    <mergeCell ref="A104:B104"/>
    <mergeCell ref="A105:B105"/>
    <mergeCell ref="B106:I106"/>
    <mergeCell ref="B107:G107"/>
    <mergeCell ref="B95:G95"/>
    <mergeCell ref="B96:G96"/>
    <mergeCell ref="B97:G97"/>
    <mergeCell ref="B98:G98"/>
    <mergeCell ref="B99:G99"/>
    <mergeCell ref="A100:G100"/>
    <mergeCell ref="A87:B87"/>
    <mergeCell ref="A88:B88"/>
    <mergeCell ref="A90:G90"/>
    <mergeCell ref="A92:I92"/>
    <mergeCell ref="B93:G93"/>
    <mergeCell ref="B94:G94"/>
    <mergeCell ref="B79:G79"/>
    <mergeCell ref="A80:G80"/>
    <mergeCell ref="A82:I82"/>
    <mergeCell ref="A83:B83"/>
    <mergeCell ref="A84:B84"/>
    <mergeCell ref="A86:I86"/>
    <mergeCell ref="B71:G71"/>
    <mergeCell ref="A72:G72"/>
    <mergeCell ref="A74:G74"/>
    <mergeCell ref="B76:G76"/>
    <mergeCell ref="B77:G77"/>
    <mergeCell ref="B78:G78"/>
    <mergeCell ref="B64:G64"/>
    <mergeCell ref="B65:G65"/>
    <mergeCell ref="B66:G66"/>
    <mergeCell ref="B67:G67"/>
    <mergeCell ref="A68:G68"/>
    <mergeCell ref="B70:G70"/>
    <mergeCell ref="B58:G58"/>
    <mergeCell ref="B59:G59"/>
    <mergeCell ref="B60:G60"/>
    <mergeCell ref="A61:G61"/>
    <mergeCell ref="B62:I62"/>
    <mergeCell ref="B63:I63"/>
    <mergeCell ref="B52:G52"/>
    <mergeCell ref="B53:G53"/>
    <mergeCell ref="B54:G54"/>
    <mergeCell ref="B55:G55"/>
    <mergeCell ref="B56:G56"/>
    <mergeCell ref="B57:G57"/>
    <mergeCell ref="B46:G46"/>
    <mergeCell ref="B47:G47"/>
    <mergeCell ref="B48:G48"/>
    <mergeCell ref="B49:G49"/>
    <mergeCell ref="A50:G50"/>
    <mergeCell ref="A51:I51"/>
    <mergeCell ref="A38:G38"/>
    <mergeCell ref="B41:G41"/>
    <mergeCell ref="B42:G42"/>
    <mergeCell ref="B43:G43"/>
    <mergeCell ref="B44:G44"/>
    <mergeCell ref="B45:G45"/>
    <mergeCell ref="B29:G29"/>
    <mergeCell ref="B30:G30"/>
    <mergeCell ref="B31:G31"/>
    <mergeCell ref="B32:G32"/>
    <mergeCell ref="B33:G33"/>
    <mergeCell ref="B37:G37"/>
    <mergeCell ref="B34:G34"/>
    <mergeCell ref="B35:G35"/>
    <mergeCell ref="B36:G36"/>
    <mergeCell ref="A25:F25"/>
    <mergeCell ref="A27:I27"/>
    <mergeCell ref="B28:G28"/>
    <mergeCell ref="A8:F8"/>
    <mergeCell ref="A9:F9"/>
    <mergeCell ref="A10:F10"/>
    <mergeCell ref="A11:F11"/>
    <mergeCell ref="A12:F15"/>
    <mergeCell ref="G12:G15"/>
    <mergeCell ref="A23:F24"/>
    <mergeCell ref="G23:G24"/>
    <mergeCell ref="A1:I1"/>
    <mergeCell ref="A2:B2"/>
    <mergeCell ref="C2:D2"/>
    <mergeCell ref="E2:I2"/>
    <mergeCell ref="A3:B3"/>
    <mergeCell ref="A5:F7"/>
    <mergeCell ref="G5:H5"/>
    <mergeCell ref="G6:G7"/>
    <mergeCell ref="A21:F22"/>
    <mergeCell ref="G21:G22"/>
    <mergeCell ref="A16:F19"/>
    <mergeCell ref="G16:G19"/>
    <mergeCell ref="A20:F20"/>
  </mergeCells>
  <printOptions horizontalCentered="1"/>
  <pageMargins left="0.5118110236220472" right="0.5118110236220472" top="0.7874015748031497" bottom="0.7874015748031497" header="0.31496062992125984" footer="0.31496062992125984"/>
  <pageSetup fitToHeight="3" horizontalDpi="600" verticalDpi="600" orientation="portrait" paperSize="9" scale="71" r:id="rId3"/>
  <rowBreaks count="2" manualBreakCount="2">
    <brk id="63" max="8" man="1"/>
    <brk id="121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2.140625" style="0" customWidth="1"/>
    <col min="2" max="2" width="12.57421875" style="0" customWidth="1"/>
    <col min="3" max="3" width="13.7109375" style="0" bestFit="1" customWidth="1"/>
    <col min="5" max="5" width="14.7109375" style="0" bestFit="1" customWidth="1"/>
    <col min="6" max="6" width="16.00390625" style="0" customWidth="1"/>
  </cols>
  <sheetData>
    <row r="3" spans="1:6" ht="15.75">
      <c r="A3" s="184" t="s">
        <v>184</v>
      </c>
      <c r="B3" s="184"/>
      <c r="C3" s="184"/>
      <c r="D3" s="184"/>
      <c r="E3" s="184"/>
      <c r="F3" s="184"/>
    </row>
    <row r="4" spans="1:6" ht="31.5">
      <c r="A4" s="69" t="s">
        <v>168</v>
      </c>
      <c r="B4" s="70" t="s">
        <v>169</v>
      </c>
      <c r="C4" s="70" t="s">
        <v>177</v>
      </c>
      <c r="D4" s="69" t="s">
        <v>165</v>
      </c>
      <c r="E4" s="70" t="s">
        <v>173</v>
      </c>
      <c r="F4" s="70" t="s">
        <v>174</v>
      </c>
    </row>
    <row r="5" spans="1:6" ht="15.75">
      <c r="A5" s="72" t="s">
        <v>167</v>
      </c>
      <c r="B5" s="71" t="s">
        <v>183</v>
      </c>
      <c r="C5" s="71" t="s">
        <v>178</v>
      </c>
      <c r="D5" s="72">
        <v>3</v>
      </c>
      <c r="E5" s="79">
        <f>'12h_DIURNO'!I157+'12h_NOTURNO'!I164</f>
        <v>18905.732211696053</v>
      </c>
      <c r="F5" s="79">
        <f>E5*D5</f>
        <v>56717.196635088156</v>
      </c>
    </row>
    <row r="6" spans="1:6" ht="15.75">
      <c r="A6" s="75" t="s">
        <v>175</v>
      </c>
      <c r="B6" s="73" t="s">
        <v>166</v>
      </c>
      <c r="C6" s="73" t="s">
        <v>166</v>
      </c>
      <c r="D6" s="74">
        <f>SUM(D5:D5)</f>
        <v>3</v>
      </c>
      <c r="E6" s="74" t="s">
        <v>166</v>
      </c>
      <c r="F6" s="80">
        <f>SUM(F5:F5)</f>
        <v>56717.196635088156</v>
      </c>
    </row>
  </sheetData>
  <sheetProtection/>
  <mergeCells count="1">
    <mergeCell ref="A3:F3"/>
  </mergeCells>
  <printOptions horizontalCentered="1"/>
  <pageMargins left="0.5118110236220472" right="0.2362204724409449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Ilete-Kuhn</dc:creator>
  <cp:keywords/>
  <dc:description/>
  <cp:lastModifiedBy>ramis-azevedo</cp:lastModifiedBy>
  <cp:lastPrinted>2017-11-30T12:16:06Z</cp:lastPrinted>
  <dcterms:created xsi:type="dcterms:W3CDTF">2017-06-14T17:49:36Z</dcterms:created>
  <dcterms:modified xsi:type="dcterms:W3CDTF">2017-12-28T18:12:09Z</dcterms:modified>
  <cp:category/>
  <cp:version/>
  <cp:contentType/>
  <cp:contentStatus/>
</cp:coreProperties>
</file>