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tabRatio="843" activeTab="2"/>
  </bookViews>
  <sheets>
    <sheet name="12h diurnas" sheetId="1" r:id="rId1"/>
    <sheet name="12h noturnas" sheetId="2" r:id="rId2"/>
    <sheet name="Resumo" sheetId="3" r:id="rId3"/>
  </sheets>
  <definedNames>
    <definedName name="_xlnm.Print_Area" localSheetId="0">'12h diurnas'!$A$1:$I$157</definedName>
    <definedName name="_xlnm.Print_Area" localSheetId="1">'12h noturnas'!$A$1:$I$164</definedName>
  </definedNames>
  <calcPr fullCalcOnLoad="1"/>
</workbook>
</file>

<file path=xl/comments1.xml><?xml version="1.0" encoding="utf-8"?>
<comments xmlns="http://schemas.openxmlformats.org/spreadsheetml/2006/main">
  <authors>
    <author>Ilete-Kuhn</author>
    <author>JULIANO DOS SANTOS GREVE</author>
  </authors>
  <commentList>
    <comment ref="B131" authorId="0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  <comment ref="I10" authorId="1">
      <text>
        <r>
          <rPr>
            <b/>
            <sz val="9"/>
            <rFont val="Segoe UI"/>
            <family val="2"/>
          </rPr>
          <t>Inciso II, artigo 48 da Lei 1.031, de 24/12/2003.</t>
        </r>
      </text>
    </comment>
    <comment ref="I12" authorId="1">
      <text>
        <r>
          <rPr>
            <b/>
            <sz val="9"/>
            <rFont val="Segoe UI"/>
            <family val="2"/>
          </rPr>
          <t>https://www.correiodopovo.com.br/Noticias/Cidades/2018/1/638685/Preco-da-passagem-de-onibus-aumenta-em-Novo-Hamburgo</t>
        </r>
      </text>
    </comment>
  </commentList>
</comments>
</file>

<file path=xl/comments2.xml><?xml version="1.0" encoding="utf-8"?>
<comments xmlns="http://schemas.openxmlformats.org/spreadsheetml/2006/main">
  <authors>
    <author>Ilete-Kuhn</author>
    <author>JULIANO DOS SANTOS GREVE</author>
  </authors>
  <commentList>
    <comment ref="B138" authorId="0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  <comment ref="I10" authorId="1">
      <text>
        <r>
          <rPr>
            <b/>
            <sz val="9"/>
            <rFont val="Segoe UI"/>
            <family val="2"/>
          </rPr>
          <t>Inciso II, artigo 48 da Lei 1.031, de 24/12/2003.</t>
        </r>
      </text>
    </comment>
    <comment ref="I12" authorId="1">
      <text>
        <r>
          <rPr>
            <b/>
            <sz val="9"/>
            <rFont val="Segoe UI"/>
            <family val="2"/>
          </rPr>
          <t>https://www.correiodopovo.com.br/Noticias/Cidades/2018/1/638685/Preco-da-passagem-de-onibus-aumenta-em-Novo-Hamburgo</t>
        </r>
      </text>
    </comment>
  </commentList>
</comments>
</file>

<file path=xl/sharedStrings.xml><?xml version="1.0" encoding="utf-8"?>
<sst xmlns="http://schemas.openxmlformats.org/spreadsheetml/2006/main" count="466" uniqueCount="187">
  <si>
    <r>
      <t xml:space="preserve">PLANILHA DE CUSTOS E FORMAÇÃO DE PREÇOS DE SERVIÇOS CONTINUADOS </t>
    </r>
    <r>
      <rPr>
        <b/>
        <u val="single"/>
        <sz val="10"/>
        <color indexed="10"/>
        <rFont val="Calibri"/>
        <family val="2"/>
      </rPr>
      <t>COM DEDICAÇÃO EXCLUSIVA</t>
    </r>
    <r>
      <rPr>
        <b/>
        <sz val="8"/>
        <color indexed="8"/>
        <rFont val="Calibri"/>
        <family val="2"/>
      </rPr>
      <t xml:space="preserve"> DE MÃO DE OBRA (ANEXO III - DECRETOS 52.768 de 15.12.2015 e 52.823 de 22.12.2015)</t>
    </r>
  </si>
  <si>
    <t>PROCESSO:</t>
  </si>
  <si>
    <t>LICITAÇÃO/EDITAL</t>
  </si>
  <si>
    <t>ABERTURA:</t>
  </si>
  <si>
    <t>PERICULOSIDADE</t>
  </si>
  <si>
    <t>Alíquota</t>
  </si>
  <si>
    <t>Nº Empregado</t>
  </si>
  <si>
    <t>Dias de trabalho</t>
  </si>
  <si>
    <t>Mensal</t>
  </si>
  <si>
    <t>Salário Normativo CCT</t>
  </si>
  <si>
    <t>SINDESP-RS</t>
  </si>
  <si>
    <t>ISSQN</t>
  </si>
  <si>
    <t>Dias</t>
  </si>
  <si>
    <t>VT p/dia</t>
  </si>
  <si>
    <t>Desconto</t>
  </si>
  <si>
    <t>CCT</t>
  </si>
  <si>
    <t>VA p/dia</t>
  </si>
  <si>
    <t>MONTANTE A</t>
  </si>
  <si>
    <t>I</t>
  </si>
  <si>
    <t>Remuneração - Grupo I</t>
  </si>
  <si>
    <t>%</t>
  </si>
  <si>
    <t>Valor Mensal/unidade de serviço (R$)</t>
  </si>
  <si>
    <t>Salário</t>
  </si>
  <si>
    <t>II</t>
  </si>
  <si>
    <t>Encargos Sociais - Grupo II: Obrigações Sociais</t>
  </si>
  <si>
    <t>Total do Grupo II</t>
  </si>
  <si>
    <t>Os percentuais para o SAT podem variar de 0,50% a 6,00% em função do Fator de Acidente Previdenciário (FAP), Decreto nº 6.957/2009</t>
  </si>
  <si>
    <t>III</t>
  </si>
  <si>
    <t>Encargos Sociais - Grupo III: Tempo Não Trabalhado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</si>
  <si>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</si>
  <si>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</si>
  <si>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</si>
  <si>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</si>
  <si>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</si>
  <si>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</si>
  <si>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</si>
  <si>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Total do Grupo IV</t>
  </si>
  <si>
    <t>V</t>
  </si>
  <si>
    <t>Encargos Sociais - Grupo V: Incidências</t>
  </si>
  <si>
    <t>Total do Grupo V</t>
  </si>
  <si>
    <t>TOTAL DOS ENCAGOS SOCIAIS (II + III + IV + V)</t>
  </si>
  <si>
    <t>VI</t>
  </si>
  <si>
    <t>Demais custos relativos à Norma Coletiva ou Disposições Legais</t>
  </si>
  <si>
    <r>
      <t>Vale-Transporte</t>
    </r>
    <r>
      <rPr>
        <sz val="5"/>
        <color indexed="8"/>
        <rFont val="Calibri"/>
        <family val="2"/>
      </rPr>
      <t xml:space="preserve"> </t>
    </r>
  </si>
  <si>
    <t>Outros (especificar)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</si>
  <si>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</si>
  <si>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</si>
  <si>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</si>
  <si>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</si>
  <si>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</si>
  <si>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</si>
  <si>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</si>
  <si>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</si>
  <si>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</si>
  <si>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</si>
  <si>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</si>
  <si>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Dias por mês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</si>
  <si>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</si>
  <si>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</si>
  <si>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</si>
  <si>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Seguro de vida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</si>
  <si>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</si>
  <si>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Total de Despesas Diretas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</si>
  <si>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</si>
  <si>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</si>
  <si>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</si>
  <si>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</si>
  <si>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</si>
  <si>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</si>
  <si>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Total Montante A</t>
  </si>
  <si>
    <t>Base de Cálculo</t>
  </si>
  <si>
    <t>Despesas Indiretas</t>
  </si>
  <si>
    <t>Despesas Administrativas</t>
  </si>
  <si>
    <t>Seguros</t>
  </si>
  <si>
    <t>Total de Despesas Indiretas</t>
  </si>
  <si>
    <t>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</si>
  <si>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</si>
  <si>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</si>
  <si>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</si>
  <si>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</si>
  <si>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</si>
  <si>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</si>
  <si>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</si>
  <si>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</si>
  <si>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</si>
  <si>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</si>
  <si>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</si>
  <si>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</si>
  <si>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</si>
  <si>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</si>
  <si>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</si>
  <si>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</si>
  <si>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</si>
  <si>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</si>
  <si>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OUTRO</t>
  </si>
  <si>
    <t>(*)</t>
  </si>
  <si>
    <t>TOTAL</t>
  </si>
  <si>
    <t>TOTAL DO MONTANTE C</t>
  </si>
  <si>
    <t>QUADRO RESUMO</t>
  </si>
  <si>
    <t>Encargos Sociais (II + III + IV + V)</t>
  </si>
  <si>
    <t xml:space="preserve">Total do Montante A </t>
  </si>
  <si>
    <t xml:space="preserve">Total do Montante B </t>
  </si>
  <si>
    <t xml:space="preserve">Total do Montante C </t>
  </si>
  <si>
    <t>Serviço</t>
  </si>
  <si>
    <t>Valor Mensal por Unidade de Serviço (A + B + C)</t>
  </si>
  <si>
    <t>Quantidade de Unidade de Serviços</t>
  </si>
  <si>
    <t>Valor mensal do serviço</t>
  </si>
  <si>
    <t>Por dia</t>
  </si>
  <si>
    <r>
      <t xml:space="preserve">REGIME DE TRIBUTAÇÃO: </t>
    </r>
    <r>
      <rPr>
        <b/>
        <sz val="14"/>
        <color indexed="10"/>
        <rFont val="Calibri"/>
        <family val="2"/>
      </rPr>
      <t xml:space="preserve">LUCRO REAL e PRESUMIDO </t>
    </r>
    <r>
      <rPr>
        <b/>
        <sz val="10"/>
        <color indexed="10"/>
        <rFont val="Calibri"/>
        <family val="2"/>
      </rPr>
      <t>(*)</t>
    </r>
  </si>
  <si>
    <t>Horas</t>
  </si>
  <si>
    <t>INSS</t>
  </si>
  <si>
    <t xml:space="preserve">SESI ou SESC </t>
  </si>
  <si>
    <t xml:space="preserve">SENAI ou SENAC </t>
  </si>
  <si>
    <t xml:space="preserve">INCRA </t>
  </si>
  <si>
    <t>SALÁRIO EDUCAÇÃO</t>
  </si>
  <si>
    <t>FGTS</t>
  </si>
  <si>
    <t>SEG. ACIDENTE DO TRABALHO (1%, 2% e 3%)</t>
  </si>
  <si>
    <t xml:space="preserve">SEBRAE </t>
  </si>
  <si>
    <t>LUCRO PRESUMIDO e REAL (*)</t>
  </si>
  <si>
    <t>(*) Com fundamento no disposto no artigo 10, inciso I, da lei 10.833/2003 e Lei 10.637/2002, e em conformidade com a informação ASJUR/CELIC 1.724/16, as Pessoas Jurídicas (empresas) referidas na Lei 7.102/83 (vigilância), optantes (enquadradas) pelo Regime de Tributação, Lucro Real, deverão apurar o PIS e a COFINS, pela sistemática cumulativa (Lucro Presumido), ou seja, com base nas alíquotas de 0,65% e 3,00%, respectivamente, sobre a receita bruta. Assim sendo, as Licitantes cujo Regime Tributário é regrado pelo Lucro Real (sistemática não cumulativa), com vista a não onerar a Administração Pública, deverão utilizar na composição dos custos dos tributos, do “Montante C”, na Planilha de Custos e Formação de Preços, as alíquotas, da sistemática cumulativa de 0,65% para o PIS e de 3,00% para a COFINS (Lucro Presumido), desconsiderando as alíquotas de 1,65% e de 7,60% (Lucro Real).</t>
  </si>
  <si>
    <r>
      <t>Uniformes/EPI</t>
    </r>
    <r>
      <rPr>
        <vertAlign val="superscript"/>
        <sz val="8"/>
        <color indexed="8"/>
        <rFont val="Calibri"/>
        <family val="2"/>
      </rPr>
      <t xml:space="preserve"> (5a) </t>
    </r>
  </si>
  <si>
    <t>Materiais/Equipamentos</t>
  </si>
  <si>
    <t>(5)   Somente será preenchido quando o licitante fornecer transporte próprio
(5a)  EPI - Equipamento de Proteção Individual
(6)   Tais custos de mobilização não são renováveis, devendo ser eliminados após o primeiro ano de contrato caso haja prorrogação</t>
  </si>
  <si>
    <t>LIMITE QUADRO I (Despesas Diretas) sobre Montante A (exceto Vale-transporte), conforme alíneas "b.2" e "b.3", Inc. II, art. 7º, do Decreto 52.768/2015: 10% SEM MATERIAIS/EQUIPAMENTOS; 20% COM MATERIAIS/EQUIPAMENTOS</t>
  </si>
  <si>
    <t>Remuneração (I)</t>
  </si>
  <si>
    <t>Demais Custos realtivos a Norma Coletiva ou Disposições Legais (VI)</t>
  </si>
  <si>
    <t>Despesas Diretas (I)</t>
  </si>
  <si>
    <t>Despesas Indiretas (II)</t>
  </si>
  <si>
    <t>Lucro (III)</t>
  </si>
  <si>
    <t>Tributos (I)</t>
  </si>
  <si>
    <t>TOTAL DO MONTANTE A</t>
  </si>
  <si>
    <t xml:space="preserve">RSRF - Repouso Semanal Remunerado </t>
  </si>
  <si>
    <t>Unitário</t>
  </si>
  <si>
    <t>Vlr Unitário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</si>
  <si>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</si>
  <si>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  <r>
      <rPr>
        <sz val="8"/>
        <color indexed="8"/>
        <rFont val="Calibri"/>
        <family val="2"/>
      </rPr>
      <t xml:space="preserve"> </t>
    </r>
  </si>
  <si>
    <t>LICENÇA MATERNIDADE</t>
  </si>
  <si>
    <t>LICENÇA PATERNIDADE</t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</si>
  <si>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</si>
  <si>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ACIDENTE DE TRABALHO</t>
  </si>
  <si>
    <t xml:space="preserve">AVISO PRÉVIO TRABALHADO </t>
  </si>
  <si>
    <t xml:space="preserve">13º SALÁRIO </t>
  </si>
  <si>
    <t>INDENIZAÇÕES</t>
  </si>
  <si>
    <t xml:space="preserve">FGTS SOBRE INDENIZAÇÕES </t>
  </si>
  <si>
    <t>INDENIZAÇÃO COMPENSATÓRIA POR DEMISSÃO SEM JUSTA CAUSA</t>
  </si>
  <si>
    <t xml:space="preserve">INCIDÊNCIA GRUPO II (Obrigações Sociais) X GRUPO III (Tempo Não Trabalhado) </t>
  </si>
  <si>
    <t xml:space="preserve">Auxílio alimentação (Vales, Cesta Básica, ect.) </t>
  </si>
  <si>
    <t>Integração RSF (20% sobre Ad.Troca de Uniforme)</t>
  </si>
  <si>
    <t>Total de Remuneração - Grupo I</t>
  </si>
  <si>
    <t>VIGILANTE 12h - CBO 5173</t>
  </si>
  <si>
    <t>Nº horas</t>
  </si>
  <si>
    <t>Vr. Hora</t>
  </si>
  <si>
    <t>Subtotal</t>
  </si>
  <si>
    <t>Integração RSRF (20%) sobre H. Extra Red. Noturna e Adic Noturno</t>
  </si>
  <si>
    <t>Postos</t>
  </si>
  <si>
    <t>Vigilante</t>
  </si>
  <si>
    <t>Função</t>
  </si>
  <si>
    <t>Coef Lucro Presumido</t>
  </si>
  <si>
    <r>
      <t>Coef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</si>
  <si>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Coef Lucro Real</t>
  </si>
  <si>
    <t>QUADRO RESUMO MENSAL</t>
  </si>
  <si>
    <t>Segunda faixa: Receita Bruta em 12 meses De 180.000,01 a 360.000,00- Alíquota de 9,00%</t>
  </si>
  <si>
    <t>Demais Custos CCT (Grupo VI)</t>
  </si>
  <si>
    <t xml:space="preserve">Jornada </t>
  </si>
  <si>
    <t>Deverá obrigatoriamente acompanhar a proposta de preços e a planilha de custos e formação de preços a prova do Fator Acidentário de Prevenção – FAP por meio de impressão de consulta ao site do Ministério da Previdência Social (que pode ser obtido no endereço eletrônico http://www2.dataprev.gov.br/fap/fap.htm), independentemente de alteração da alíquota da parcela do Seguro Acidente de Trabalho disposta no Quadro II da referida planilha.</t>
  </si>
  <si>
    <t>Adicional Troca de Uniforme - Cláusula 32ª CCT</t>
  </si>
  <si>
    <t>Tarifa Transporte - Cláusula 35ª CCT</t>
  </si>
  <si>
    <t>Tarifa Transporte  - Cláusula 35ª CCT</t>
  </si>
  <si>
    <t>Auxílio Alimentação - Cláusula 34ª CCT</t>
  </si>
  <si>
    <t>Hora Intervalar</t>
  </si>
  <si>
    <r>
      <rPr>
        <b/>
        <sz val="8"/>
        <color indexed="8"/>
        <rFont val="Calibri"/>
        <family val="2"/>
      </rPr>
      <t>Adicional Noturno: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Horas:</t>
    </r>
    <r>
      <rPr>
        <sz val="8"/>
        <color indexed="8"/>
        <rFont val="Calibri"/>
        <family val="2"/>
      </rPr>
      <t xml:space="preserve"> 60/52,5 = 1,143 x 7h = 8h X 15 dias = </t>
    </r>
    <r>
      <rPr>
        <b/>
        <sz val="8"/>
        <color indexed="8"/>
        <rFont val="Calibri"/>
        <family val="2"/>
      </rPr>
      <t>120 horas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Valor hora:</t>
    </r>
    <r>
      <rPr>
        <sz val="8"/>
        <color indexed="8"/>
        <rFont val="Calibri"/>
        <family val="2"/>
      </rPr>
      <t xml:space="preserve"> R$ 6,58 X </t>
    </r>
    <r>
      <rPr>
        <sz val="8"/>
        <color indexed="8"/>
        <rFont val="Calibri"/>
        <family val="2"/>
      </rPr>
      <t>20% (noturno) + 30% (periculosidade)</t>
    </r>
    <r>
      <rPr>
        <sz val="8"/>
        <color indexed="8"/>
        <rFont val="Calibri"/>
        <family val="2"/>
      </rPr>
      <t xml:space="preserve"> = </t>
    </r>
    <r>
      <rPr>
        <b/>
        <sz val="8"/>
        <color indexed="8"/>
        <rFont val="Calibri"/>
        <family val="2"/>
      </rPr>
      <t>R$ 1,711</t>
    </r>
  </si>
  <si>
    <t xml:space="preserve">Adicional Noturno </t>
  </si>
  <si>
    <t>Reduzida Noturna</t>
  </si>
  <si>
    <t>Adicional Troca de Uniforme -  Cláusula 32ª CCT</t>
  </si>
  <si>
    <t>Adicional Periculosidade 30%  sobre Salário e Ad Troca de Uniforme</t>
  </si>
  <si>
    <t xml:space="preserve">Adicional Periculosidade 30%  sobre Salário e Ad Troca de Uniforme </t>
  </si>
  <si>
    <t>Feriado - São considerados compensados os feriados, conforme parágrafo único, Art. 59-A da CLT.</t>
  </si>
  <si>
    <t>Valor unitário</t>
  </si>
  <si>
    <t>Valor total</t>
  </si>
  <si>
    <t>-</t>
  </si>
  <si>
    <t>18/2158-0000243-0</t>
  </si>
  <si>
    <r>
      <t>Detalhamento dos Serviços: Custo relativo empregado da categoria</t>
    </r>
    <r>
      <rPr>
        <b/>
        <sz val="8"/>
        <color indexed="8"/>
        <rFont val="Calibri"/>
        <family val="2"/>
      </rPr>
      <t xml:space="preserve"> VIGILANTE</t>
    </r>
    <r>
      <rPr>
        <sz val="8"/>
        <color indexed="8"/>
        <rFont val="Calibri"/>
        <family val="2"/>
      </rPr>
      <t xml:space="preserve">, com jornada de </t>
    </r>
    <r>
      <rPr>
        <b/>
        <sz val="8"/>
        <color indexed="8"/>
        <rFont val="Calibri"/>
        <family val="2"/>
      </rPr>
      <t>12 horas diurnas</t>
    </r>
    <r>
      <rPr>
        <sz val="8"/>
        <color indexed="8"/>
        <rFont val="Calibri"/>
        <family val="2"/>
      </rPr>
      <t xml:space="preserve">, de segunda a domingo, com </t>
    </r>
    <r>
      <rPr>
        <b/>
        <sz val="8"/>
        <color indexed="8"/>
        <rFont val="Calibri"/>
        <family val="2"/>
      </rPr>
      <t xml:space="preserve">escala 12 x 36 </t>
    </r>
    <r>
      <rPr>
        <sz val="8"/>
        <color indexed="8"/>
        <rFont val="Calibri"/>
        <family val="2"/>
      </rPr>
      <t xml:space="preserve">em </t>
    </r>
    <r>
      <rPr>
        <b/>
        <sz val="8"/>
        <color indexed="8"/>
        <rFont val="Calibri"/>
        <family val="2"/>
      </rPr>
      <t>NOVO HAMBURGO</t>
    </r>
    <r>
      <rPr>
        <sz val="8"/>
        <color indexed="8"/>
        <rFont val="Calibri"/>
        <family val="2"/>
      </rPr>
      <t>. 
Conforme Convenção Coletiva do SINDESP-RS, registro no MTE sob nº RS001420/2018</t>
    </r>
  </si>
  <si>
    <r>
      <t>Detalhamento dos Serviços: Custo relativo empregado da categoria</t>
    </r>
    <r>
      <rPr>
        <b/>
        <sz val="8"/>
        <color indexed="8"/>
        <rFont val="Calibri"/>
        <family val="2"/>
      </rPr>
      <t xml:space="preserve"> VIGILANTE</t>
    </r>
    <r>
      <rPr>
        <sz val="8"/>
        <color indexed="8"/>
        <rFont val="Calibri"/>
        <family val="2"/>
      </rPr>
      <t xml:space="preserve">, com jornada de </t>
    </r>
    <r>
      <rPr>
        <b/>
        <sz val="8"/>
        <color indexed="8"/>
        <rFont val="Calibri"/>
        <family val="2"/>
      </rPr>
      <t>12 horas noturnas</t>
    </r>
    <r>
      <rPr>
        <sz val="8"/>
        <color indexed="8"/>
        <rFont val="Calibri"/>
        <family val="2"/>
      </rPr>
      <t xml:space="preserve">, de segunda a domingo, com </t>
    </r>
    <r>
      <rPr>
        <b/>
        <sz val="8"/>
        <color indexed="8"/>
        <rFont val="Calibri"/>
        <family val="2"/>
      </rPr>
      <t xml:space="preserve">escala 12 x 36 </t>
    </r>
    <r>
      <rPr>
        <sz val="8"/>
        <color indexed="8"/>
        <rFont val="Calibri"/>
        <family val="2"/>
      </rPr>
      <t xml:space="preserve">em </t>
    </r>
    <r>
      <rPr>
        <b/>
        <sz val="8"/>
        <color indexed="8"/>
        <rFont val="Calibri"/>
        <family val="2"/>
      </rPr>
      <t>NOVO HAMBURGO</t>
    </r>
    <r>
      <rPr>
        <sz val="8"/>
        <color indexed="8"/>
        <rFont val="Calibri"/>
        <family val="2"/>
      </rPr>
      <t>. 
Conforme Convenção Coletiva do SINDESP-RS, registro no MTE sob nº RS001420/2018</t>
    </r>
  </si>
  <si>
    <t>NOVO HAMBURGO</t>
  </si>
  <si>
    <t>24 horas</t>
  </si>
  <si>
    <t>Adicional intervalar</t>
  </si>
  <si>
    <r>
      <rPr>
        <b/>
        <sz val="8"/>
        <color indexed="8"/>
        <rFont val="Calibri"/>
        <family val="2"/>
      </rPr>
      <t>Reduzida Noturna - Cláusula 29ª
Horas Reduzidas:</t>
    </r>
    <r>
      <rPr>
        <sz val="8"/>
        <color indexed="8"/>
        <rFont val="Calibri"/>
        <family val="2"/>
      </rPr>
      <t xml:space="preserve"> 60/52,5=1,143 x 7h noturnas = 8h noturnas
5h diurnas + 8h noturnas =  13h X 15 dias = 195 horas mensais
195h - 190,67 =</t>
    </r>
    <r>
      <rPr>
        <b/>
        <sz val="8"/>
        <color indexed="8"/>
        <rFont val="Calibri"/>
        <family val="2"/>
      </rPr>
      <t xml:space="preserve"> 4,33 horas
Valor hora: R$ </t>
    </r>
    <r>
      <rPr>
        <sz val="8"/>
        <color indexed="8"/>
        <rFont val="Calibri"/>
        <family val="2"/>
      </rPr>
      <t>6,58 + 50% (H.Extra) + 30% (periculosidade) =</t>
    </r>
    <r>
      <rPr>
        <b/>
        <sz val="8"/>
        <color indexed="8"/>
        <rFont val="Calibri"/>
        <family val="2"/>
      </rPr>
      <t xml:space="preserve"> R$ 12,831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</si>
</sst>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00"/>
    <numFmt numFmtId="166" formatCode="#,##0.000"/>
    <numFmt numFmtId="167" formatCode="0.0000"/>
    <numFmt numFmtId="168" formatCode="_-* #,##0.000_-;\-* #,##0.000_-;_-* &quot;-&quot;??_-;_-@_-"/>
    <numFmt numFmtId="169" formatCode="0.0%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10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5"/>
      <color indexed="8"/>
      <name val="Calibri"/>
      <family val="2"/>
    </font>
    <font>
      <i/>
      <sz val="7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6"/>
      <color indexed="8"/>
      <name val="Calibri"/>
      <family val="2"/>
    </font>
    <font>
      <sz val="5"/>
      <color indexed="8"/>
      <name val="Calibri"/>
      <family val="2"/>
    </font>
    <font>
      <vertAlign val="superscript"/>
      <sz val="8"/>
      <color indexed="8"/>
      <name val="Calibri"/>
      <family val="2"/>
    </font>
    <font>
      <i/>
      <sz val="6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b/>
      <i/>
      <sz val="6"/>
      <color indexed="8"/>
      <name val="Calibri"/>
      <family val="2"/>
    </font>
    <font>
      <b/>
      <sz val="10"/>
      <color indexed="10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Segoe U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5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5"/>
      <color theme="1"/>
      <name val="Calibri"/>
      <family val="2"/>
    </font>
    <font>
      <b/>
      <i/>
      <sz val="6"/>
      <color theme="1"/>
      <name val="Calibri"/>
      <family val="2"/>
    </font>
    <font>
      <sz val="7"/>
      <color theme="1"/>
      <name val="Calibri"/>
      <family val="2"/>
    </font>
    <font>
      <b/>
      <sz val="14"/>
      <color rgb="FFFF0000"/>
      <name val="Calibri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7"/>
      <color theme="1"/>
      <name val="Calibri"/>
      <family val="2"/>
    </font>
    <font>
      <b/>
      <sz val="10"/>
      <color theme="1"/>
      <name val="Calibri"/>
      <family val="2"/>
    </font>
    <font>
      <i/>
      <sz val="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164" fontId="60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5" borderId="11" xfId="0" applyFont="1" applyFill="1" applyBorder="1" applyAlignment="1">
      <alignment horizontal="center" vertical="center" wrapText="1"/>
    </xf>
    <xf numFmtId="164" fontId="60" fillId="0" borderId="11" xfId="0" applyNumberFormat="1" applyFont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164" fontId="62" fillId="0" borderId="11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164" fontId="62" fillId="0" borderId="0" xfId="0" applyNumberFormat="1" applyFont="1" applyBorder="1" applyAlignment="1">
      <alignment horizontal="center" vertical="center" wrapText="1"/>
    </xf>
    <xf numFmtId="4" fontId="62" fillId="0" borderId="0" xfId="0" applyNumberFormat="1" applyFont="1" applyBorder="1" applyAlignment="1">
      <alignment horizontal="center" vertical="center" wrapText="1"/>
    </xf>
    <xf numFmtId="4" fontId="62" fillId="33" borderId="11" xfId="0" applyNumberFormat="1" applyFont="1" applyFill="1" applyBorder="1" applyAlignment="1">
      <alignment horizontal="center" vertical="center" wrapText="1"/>
    </xf>
    <xf numFmtId="0" fontId="63" fillId="0" borderId="0" xfId="0" applyFont="1" applyAlignment="1" quotePrefix="1">
      <alignment horizontal="center" vertical="center" wrapText="1"/>
    </xf>
    <xf numFmtId="164" fontId="62" fillId="34" borderId="11" xfId="0" applyNumberFormat="1" applyFont="1" applyFill="1" applyBorder="1" applyAlignment="1">
      <alignment horizontal="center" vertical="center" wrapText="1"/>
    </xf>
    <xf numFmtId="4" fontId="62" fillId="34" borderId="11" xfId="0" applyNumberFormat="1" applyFont="1" applyFill="1" applyBorder="1" applyAlignment="1">
      <alignment horizontal="center" vertical="center" wrapText="1"/>
    </xf>
    <xf numFmtId="9" fontId="60" fillId="0" borderId="1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2" fontId="64" fillId="0" borderId="0" xfId="0" applyNumberFormat="1" applyFont="1" applyBorder="1" applyAlignment="1">
      <alignment horizontal="center" vertical="center" wrapText="1"/>
    </xf>
    <xf numFmtId="9" fontId="64" fillId="0" borderId="0" xfId="0" applyNumberFormat="1" applyFont="1" applyBorder="1" applyAlignment="1">
      <alignment horizontal="center" vertical="center" wrapText="1"/>
    </xf>
    <xf numFmtId="4" fontId="64" fillId="0" borderId="0" xfId="0" applyNumberFormat="1" applyFont="1" applyBorder="1" applyAlignment="1">
      <alignment horizontal="center" vertical="center" wrapText="1"/>
    </xf>
    <xf numFmtId="10" fontId="60" fillId="0" borderId="11" xfId="0" applyNumberFormat="1" applyFont="1" applyBorder="1" applyAlignment="1">
      <alignment horizontal="center" vertical="center" wrapText="1"/>
    </xf>
    <xf numFmtId="164" fontId="62" fillId="13" borderId="11" xfId="0" applyNumberFormat="1" applyFont="1" applyFill="1" applyBorder="1" applyAlignment="1">
      <alignment horizontal="center" vertical="center" wrapText="1"/>
    </xf>
    <xf numFmtId="4" fontId="62" fillId="13" borderId="11" xfId="0" applyNumberFormat="1" applyFont="1" applyFill="1" applyBorder="1" applyAlignment="1">
      <alignment horizontal="center" vertical="center" wrapText="1"/>
    </xf>
    <xf numFmtId="0" fontId="62" fillId="35" borderId="0" xfId="0" applyFont="1" applyFill="1" applyBorder="1" applyAlignment="1">
      <alignment horizontal="center" vertical="center" wrapText="1"/>
    </xf>
    <xf numFmtId="164" fontId="62" fillId="35" borderId="0" xfId="0" applyNumberFormat="1" applyFont="1" applyFill="1" applyBorder="1" applyAlignment="1">
      <alignment horizontal="center" vertical="center" wrapText="1"/>
    </xf>
    <xf numFmtId="4" fontId="62" fillId="35" borderId="0" xfId="0" applyNumberFormat="1" applyFont="1" applyFill="1" applyBorder="1" applyAlignment="1">
      <alignment horizontal="center" vertical="center" wrapText="1"/>
    </xf>
    <xf numFmtId="0" fontId="60" fillId="35" borderId="0" xfId="0" applyFont="1" applyFill="1" applyAlignment="1">
      <alignment horizontal="center" vertical="center" wrapText="1"/>
    </xf>
    <xf numFmtId="9" fontId="61" fillId="25" borderId="11" xfId="0" applyNumberFormat="1" applyFont="1" applyFill="1" applyBorder="1" applyAlignment="1" quotePrefix="1">
      <alignment horizontal="center" vertical="center" wrapText="1"/>
    </xf>
    <xf numFmtId="2" fontId="61" fillId="33" borderId="11" xfId="0" applyNumberFormat="1" applyFont="1" applyFill="1" applyBorder="1" applyAlignment="1" quotePrefix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10" fontId="65" fillId="35" borderId="11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0" fontId="66" fillId="0" borderId="0" xfId="0" applyFont="1" applyAlignment="1" quotePrefix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4" fontId="60" fillId="10" borderId="11" xfId="0" applyNumberFormat="1" applyFont="1" applyFill="1" applyBorder="1" applyAlignment="1">
      <alignment horizontal="center" vertical="center" wrapText="1"/>
    </xf>
    <xf numFmtId="4" fontId="62" fillId="10" borderId="11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67" fillId="35" borderId="12" xfId="0" applyFont="1" applyFill="1" applyBorder="1" applyAlignment="1" quotePrefix="1">
      <alignment horizontal="center" vertical="center" wrapText="1"/>
    </xf>
    <xf numFmtId="10" fontId="61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0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/>
    </xf>
    <xf numFmtId="9" fontId="60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/>
    </xf>
    <xf numFmtId="167" fontId="60" fillId="0" borderId="11" xfId="0" applyNumberFormat="1" applyFont="1" applyBorder="1" applyAlignment="1">
      <alignment horizontal="center" vertical="center" wrapText="1"/>
    </xf>
    <xf numFmtId="167" fontId="62" fillId="36" borderId="13" xfId="0" applyNumberFormat="1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9" fontId="69" fillId="34" borderId="11" xfId="0" applyNumberFormat="1" applyFont="1" applyFill="1" applyBorder="1" applyAlignment="1">
      <alignment horizontal="center" vertical="center" wrapText="1"/>
    </xf>
    <xf numFmtId="4" fontId="60" fillId="34" borderId="11" xfId="0" applyNumberFormat="1" applyFont="1" applyFill="1" applyBorder="1" applyAlignment="1">
      <alignment horizontal="center" vertical="center" wrapText="1"/>
    </xf>
    <xf numFmtId="2" fontId="60" fillId="34" borderId="11" xfId="0" applyNumberFormat="1" applyFont="1" applyFill="1" applyBorder="1" applyAlignment="1">
      <alignment horizontal="center" vertical="center" wrapText="1"/>
    </xf>
    <xf numFmtId="9" fontId="60" fillId="34" borderId="11" xfId="0" applyNumberFormat="1" applyFont="1" applyFill="1" applyBorder="1" applyAlignment="1">
      <alignment horizontal="center" vertical="center" wrapText="1"/>
    </xf>
    <xf numFmtId="1" fontId="60" fillId="34" borderId="11" xfId="0" applyNumberFormat="1" applyFont="1" applyFill="1" applyBorder="1" applyAlignment="1">
      <alignment horizontal="center" vertical="center" wrapText="1"/>
    </xf>
    <xf numFmtId="2" fontId="60" fillId="34" borderId="12" xfId="0" applyNumberFormat="1" applyFont="1" applyFill="1" applyBorder="1" applyAlignment="1">
      <alignment horizontal="center" vertical="center" wrapText="1"/>
    </xf>
    <xf numFmtId="165" fontId="60" fillId="3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9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43" fontId="60" fillId="0" borderId="0" xfId="60" applyFont="1" applyAlignment="1">
      <alignment horizontal="center" vertical="center" wrapText="1"/>
    </xf>
    <xf numFmtId="167" fontId="62" fillId="35" borderId="11" xfId="0" applyNumberFormat="1" applyFont="1" applyFill="1" applyBorder="1" applyAlignment="1">
      <alignment horizontal="center" vertical="center" wrapText="1"/>
    </xf>
    <xf numFmtId="167" fontId="60" fillId="35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4" fontId="0" fillId="0" borderId="11" xfId="0" applyNumberFormat="1" applyBorder="1" applyAlignment="1">
      <alignment horizontal="right" vertical="center"/>
    </xf>
    <xf numFmtId="0" fontId="61" fillId="0" borderId="11" xfId="0" applyFont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2" fontId="60" fillId="0" borderId="11" xfId="0" applyNumberFormat="1" applyFont="1" applyBorder="1" applyAlignment="1">
      <alignment horizontal="center" vertical="center" wrapText="1"/>
    </xf>
    <xf numFmtId="0" fontId="65" fillId="35" borderId="11" xfId="0" applyFont="1" applyFill="1" applyBorder="1" applyAlignment="1" quotePrefix="1">
      <alignment horizontal="center" vertical="center" wrapText="1"/>
    </xf>
    <xf numFmtId="4" fontId="60" fillId="35" borderId="11" xfId="0" applyNumberFormat="1" applyFont="1" applyFill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0" fontId="60" fillId="10" borderId="11" xfId="0" applyFont="1" applyFill="1" applyBorder="1" applyAlignment="1">
      <alignment horizontal="center" vertical="center" wrapText="1"/>
    </xf>
    <xf numFmtId="168" fontId="60" fillId="0" borderId="0" xfId="60" applyNumberFormat="1" applyFont="1" applyAlignment="1">
      <alignment horizontal="center" vertical="center" wrapText="1"/>
    </xf>
    <xf numFmtId="4" fontId="28" fillId="3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9" fontId="60" fillId="34" borderId="11" xfId="0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44" fontId="59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44" fontId="0" fillId="0" borderId="11" xfId="0" applyNumberFormat="1" applyFont="1" applyBorder="1" applyAlignment="1">
      <alignment horizontal="right"/>
    </xf>
    <xf numFmtId="0" fontId="53" fillId="0" borderId="0" xfId="0" applyFont="1" applyAlignment="1">
      <alignment/>
    </xf>
    <xf numFmtId="4" fontId="60" fillId="34" borderId="12" xfId="0" applyNumberFormat="1" applyFont="1" applyFill="1" applyBorder="1" applyAlignment="1">
      <alignment horizontal="center" vertical="center" wrapText="1"/>
    </xf>
    <xf numFmtId="0" fontId="60" fillId="10" borderId="13" xfId="0" applyFont="1" applyFill="1" applyBorder="1" applyAlignment="1">
      <alignment horizontal="left" vertical="center" wrapText="1"/>
    </xf>
    <xf numFmtId="0" fontId="60" fillId="10" borderId="14" xfId="0" applyFont="1" applyFill="1" applyBorder="1" applyAlignment="1">
      <alignment horizontal="left" vertical="center" wrapText="1"/>
    </xf>
    <xf numFmtId="0" fontId="60" fillId="10" borderId="15" xfId="0" applyFont="1" applyFill="1" applyBorder="1" applyAlignment="1">
      <alignment horizontal="left" vertical="center" wrapText="1"/>
    </xf>
    <xf numFmtId="0" fontId="62" fillId="10" borderId="13" xfId="0" applyFont="1" applyFill="1" applyBorder="1" applyAlignment="1">
      <alignment horizontal="center" vertical="center" wrapText="1"/>
    </xf>
    <xf numFmtId="0" fontId="62" fillId="10" borderId="14" xfId="0" applyFont="1" applyFill="1" applyBorder="1" applyAlignment="1">
      <alignment horizontal="center" vertical="center" wrapText="1"/>
    </xf>
    <xf numFmtId="0" fontId="62" fillId="10" borderId="15" xfId="0" applyFont="1" applyFill="1" applyBorder="1" applyAlignment="1">
      <alignment horizontal="center" vertical="center" wrapText="1"/>
    </xf>
    <xf numFmtId="0" fontId="61" fillId="37" borderId="11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2" fillId="13" borderId="13" xfId="0" applyFont="1" applyFill="1" applyBorder="1" applyAlignment="1">
      <alignment horizontal="center" vertical="center" wrapText="1"/>
    </xf>
    <xf numFmtId="0" fontId="62" fillId="13" borderId="14" xfId="0" applyFont="1" applyFill="1" applyBorder="1" applyAlignment="1">
      <alignment horizontal="center" vertical="center" wrapText="1"/>
    </xf>
    <xf numFmtId="0" fontId="62" fillId="13" borderId="15" xfId="0" applyFont="1" applyFill="1" applyBorder="1" applyAlignment="1">
      <alignment horizontal="center" vertical="center" wrapText="1"/>
    </xf>
    <xf numFmtId="0" fontId="60" fillId="10" borderId="11" xfId="0" applyFont="1" applyFill="1" applyBorder="1" applyAlignment="1">
      <alignment horizontal="center" vertical="center" wrapText="1"/>
    </xf>
    <xf numFmtId="0" fontId="61" fillId="10" borderId="11" xfId="0" applyFont="1" applyFill="1" applyBorder="1" applyAlignment="1">
      <alignment horizontal="center" vertical="center" wrapText="1"/>
    </xf>
    <xf numFmtId="0" fontId="62" fillId="13" borderId="11" xfId="0" applyFont="1" applyFill="1" applyBorder="1" applyAlignment="1">
      <alignment horizontal="center" vertical="center" wrapText="1"/>
    </xf>
    <xf numFmtId="0" fontId="61" fillId="11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1" xfId="0" applyFont="1" applyBorder="1" applyAlignment="1" quotePrefix="1">
      <alignment horizontal="left" vertical="center" wrapText="1"/>
    </xf>
    <xf numFmtId="10" fontId="60" fillId="36" borderId="11" xfId="0" applyNumberFormat="1" applyFont="1" applyFill="1" applyBorder="1" applyAlignment="1">
      <alignment horizontal="center" vertical="center" wrapText="1"/>
    </xf>
    <xf numFmtId="0" fontId="67" fillId="35" borderId="12" xfId="0" applyFont="1" applyFill="1" applyBorder="1" applyAlignment="1">
      <alignment horizontal="left" vertical="center" wrapText="1"/>
    </xf>
    <xf numFmtId="10" fontId="61" fillId="36" borderId="12" xfId="0" applyNumberFormat="1" applyFont="1" applyFill="1" applyBorder="1" applyAlignment="1">
      <alignment horizontal="center" vertical="center" wrapText="1"/>
    </xf>
    <xf numFmtId="0" fontId="70" fillId="36" borderId="16" xfId="0" applyFont="1" applyFill="1" applyBorder="1" applyAlignment="1">
      <alignment horizontal="justify" vertical="center" wrapText="1"/>
    </xf>
    <xf numFmtId="0" fontId="71" fillId="36" borderId="17" xfId="0" applyFont="1" applyFill="1" applyBorder="1" applyAlignment="1">
      <alignment horizontal="justify" vertical="center" wrapText="1"/>
    </xf>
    <xf numFmtId="0" fontId="71" fillId="36" borderId="18" xfId="0" applyFont="1" applyFill="1" applyBorder="1" applyAlignment="1">
      <alignment horizontal="justify" vertical="center" wrapText="1"/>
    </xf>
    <xf numFmtId="0" fontId="65" fillId="0" borderId="19" xfId="0" applyFont="1" applyBorder="1" applyAlignment="1">
      <alignment horizontal="left" vertical="center" wrapText="1"/>
    </xf>
    <xf numFmtId="4" fontId="60" fillId="0" borderId="13" xfId="0" applyNumberFormat="1" applyFont="1" applyBorder="1" applyAlignment="1">
      <alignment horizontal="center" vertical="center" wrapText="1"/>
    </xf>
    <xf numFmtId="4" fontId="60" fillId="0" borderId="15" xfId="0" applyNumberFormat="1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4" fontId="62" fillId="0" borderId="13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62" fillId="33" borderId="11" xfId="0" applyFont="1" applyFill="1" applyBorder="1" applyAlignment="1" quotePrefix="1">
      <alignment horizontal="center" vertical="center" wrapText="1"/>
    </xf>
    <xf numFmtId="0" fontId="60" fillId="0" borderId="11" xfId="0" applyFont="1" applyBorder="1" applyAlignment="1" quotePrefix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36" borderId="11" xfId="0" applyFont="1" applyFill="1" applyBorder="1" applyAlignment="1">
      <alignment horizontal="center" vertical="center" wrapText="1"/>
    </xf>
    <xf numFmtId="0" fontId="73" fillId="5" borderId="13" xfId="0" applyFont="1" applyFill="1" applyBorder="1" applyAlignment="1">
      <alignment horizontal="center" vertical="center" wrapText="1"/>
    </xf>
    <xf numFmtId="0" fontId="73" fillId="5" borderId="14" xfId="0" applyFont="1" applyFill="1" applyBorder="1" applyAlignment="1">
      <alignment horizontal="center" vertical="center" wrapText="1"/>
    </xf>
    <xf numFmtId="0" fontId="73" fillId="5" borderId="15" xfId="0" applyFont="1" applyFill="1" applyBorder="1" applyAlignment="1">
      <alignment horizontal="center" vertical="center" wrapText="1"/>
    </xf>
    <xf numFmtId="0" fontId="61" fillId="25" borderId="11" xfId="0" applyFont="1" applyFill="1" applyBorder="1" applyAlignment="1" quotePrefix="1">
      <alignment horizontal="center" vertical="center" wrapText="1"/>
    </xf>
    <xf numFmtId="0" fontId="65" fillId="35" borderId="11" xfId="0" applyFont="1" applyFill="1" applyBorder="1" applyAlignment="1" quotePrefix="1">
      <alignment horizontal="center" vertical="center" wrapText="1"/>
    </xf>
    <xf numFmtId="4" fontId="60" fillId="35" borderId="11" xfId="0" applyNumberFormat="1" applyFont="1" applyFill="1" applyBorder="1" applyAlignment="1">
      <alignment horizontal="center" vertical="center" wrapText="1"/>
    </xf>
    <xf numFmtId="0" fontId="61" fillId="25" borderId="13" xfId="0" applyFont="1" applyFill="1" applyBorder="1" applyAlignment="1">
      <alignment vertical="top" wrapText="1"/>
    </xf>
    <xf numFmtId="0" fontId="61" fillId="25" borderId="14" xfId="0" applyFont="1" applyFill="1" applyBorder="1" applyAlignment="1" quotePrefix="1">
      <alignment vertical="top" wrapText="1"/>
    </xf>
    <xf numFmtId="0" fontId="61" fillId="25" borderId="15" xfId="0" applyFont="1" applyFill="1" applyBorder="1" applyAlignment="1" quotePrefix="1">
      <alignment vertical="top" wrapText="1"/>
    </xf>
    <xf numFmtId="0" fontId="74" fillId="0" borderId="1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62" fillId="33" borderId="11" xfId="0" applyFont="1" applyFill="1" applyBorder="1" applyAlignment="1">
      <alignment horizontal="center" vertical="center" wrapText="1"/>
    </xf>
    <xf numFmtId="2" fontId="60" fillId="0" borderId="11" xfId="0" applyNumberFormat="1" applyFont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72" fillId="0" borderId="19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justify" vertical="center" wrapText="1"/>
    </xf>
    <xf numFmtId="0" fontId="72" fillId="0" borderId="14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75" fillId="36" borderId="11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left" vertical="center" wrapText="1"/>
    </xf>
    <xf numFmtId="0" fontId="60" fillId="0" borderId="20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left" vertical="center" wrapText="1"/>
    </xf>
    <xf numFmtId="0" fontId="68" fillId="34" borderId="11" xfId="0" applyFont="1" applyFill="1" applyBorder="1" applyAlignment="1">
      <alignment horizontal="center" vertical="center" wrapText="1"/>
    </xf>
    <xf numFmtId="0" fontId="60" fillId="9" borderId="0" xfId="0" applyFont="1" applyFill="1" applyBorder="1" applyAlignment="1">
      <alignment horizontal="left" vertical="center" wrapText="1"/>
    </xf>
    <xf numFmtId="0" fontId="76" fillId="14" borderId="1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7"/>
  <sheetViews>
    <sheetView view="pageBreakPreview" zoomScale="120" zoomScaleNormal="130" zoomScaleSheetLayoutView="120" zoomScalePageLayoutView="0" workbookViewId="0" topLeftCell="A130">
      <selection activeCell="I107" sqref="I107"/>
    </sheetView>
  </sheetViews>
  <sheetFormatPr defaultColWidth="9.140625" defaultRowHeight="15"/>
  <cols>
    <col min="1" max="1" width="2.8515625" style="2" customWidth="1"/>
    <col min="2" max="6" width="11.28125" style="2" customWidth="1"/>
    <col min="7" max="7" width="11.57421875" style="2" customWidth="1"/>
    <col min="8" max="8" width="9.00390625" style="2" customWidth="1"/>
    <col min="9" max="9" width="11.7109375" style="2" customWidth="1"/>
    <col min="10" max="10" width="11.140625" style="0" bestFit="1" customWidth="1"/>
    <col min="11" max="11" width="10.00390625" style="0" bestFit="1" customWidth="1"/>
    <col min="17" max="16384" width="9.140625" style="2" customWidth="1"/>
  </cols>
  <sheetData>
    <row r="1" spans="1:9" ht="26.2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9" ht="40.5" customHeight="1">
      <c r="A2" s="160" t="s">
        <v>1</v>
      </c>
      <c r="B2" s="160"/>
      <c r="C2" s="161" t="s">
        <v>180</v>
      </c>
      <c r="D2" s="161"/>
      <c r="E2" s="162" t="s">
        <v>108</v>
      </c>
      <c r="F2" s="162"/>
      <c r="G2" s="162"/>
      <c r="H2" s="162"/>
      <c r="I2" s="162"/>
    </row>
    <row r="3" spans="1:9" ht="11.25">
      <c r="A3" s="160" t="s">
        <v>2</v>
      </c>
      <c r="B3" s="160"/>
      <c r="C3" s="4"/>
      <c r="D3" s="3"/>
      <c r="E3" s="67" t="s">
        <v>3</v>
      </c>
      <c r="F3" s="67"/>
      <c r="G3" s="3"/>
      <c r="H3" s="3"/>
      <c r="I3" s="3"/>
    </row>
    <row r="4" ht="4.5" customHeight="1"/>
    <row r="5" spans="1:9" ht="20.25" customHeight="1">
      <c r="A5" s="163" t="s">
        <v>181</v>
      </c>
      <c r="B5" s="164"/>
      <c r="C5" s="164"/>
      <c r="D5" s="164"/>
      <c r="E5" s="164"/>
      <c r="F5" s="165"/>
      <c r="G5" s="159" t="s">
        <v>149</v>
      </c>
      <c r="H5" s="159"/>
      <c r="I5" s="51">
        <v>220</v>
      </c>
    </row>
    <row r="6" spans="1:9" ht="27" customHeight="1">
      <c r="A6" s="166"/>
      <c r="B6" s="167"/>
      <c r="C6" s="167"/>
      <c r="D6" s="167"/>
      <c r="E6" s="167"/>
      <c r="F6" s="168"/>
      <c r="G6" s="172" t="s">
        <v>4</v>
      </c>
      <c r="H6" s="68" t="s">
        <v>5</v>
      </c>
      <c r="I6" s="52">
        <v>0.3</v>
      </c>
    </row>
    <row r="7" spans="1:16" s="1" customFormat="1" ht="22.5" customHeight="1">
      <c r="A7" s="169"/>
      <c r="B7" s="170"/>
      <c r="C7" s="170"/>
      <c r="D7" s="170"/>
      <c r="E7" s="170"/>
      <c r="F7" s="171"/>
      <c r="G7" s="172"/>
      <c r="H7" s="68" t="s">
        <v>6</v>
      </c>
      <c r="I7" s="68">
        <v>1</v>
      </c>
      <c r="J7"/>
      <c r="K7"/>
      <c r="L7"/>
      <c r="M7"/>
      <c r="N7"/>
      <c r="O7"/>
      <c r="P7"/>
    </row>
    <row r="8" spans="1:16" s="1" customFormat="1" ht="11.25" customHeight="1">
      <c r="A8" s="124" t="s">
        <v>7</v>
      </c>
      <c r="B8" s="148"/>
      <c r="C8" s="148"/>
      <c r="D8" s="148"/>
      <c r="E8" s="148"/>
      <c r="F8" s="149"/>
      <c r="G8" s="68"/>
      <c r="H8" s="68" t="s">
        <v>8</v>
      </c>
      <c r="I8" s="68">
        <v>15</v>
      </c>
      <c r="J8"/>
      <c r="K8"/>
      <c r="L8"/>
      <c r="M8"/>
      <c r="N8"/>
      <c r="O8"/>
      <c r="P8"/>
    </row>
    <row r="9" spans="1:16" s="1" customFormat="1" ht="15" customHeight="1">
      <c r="A9" s="124" t="s">
        <v>9</v>
      </c>
      <c r="B9" s="148"/>
      <c r="C9" s="148"/>
      <c r="D9" s="148"/>
      <c r="E9" s="148"/>
      <c r="F9" s="149"/>
      <c r="G9" s="68" t="s">
        <v>10</v>
      </c>
      <c r="H9" s="68">
        <v>220</v>
      </c>
      <c r="I9" s="53">
        <v>1447.6</v>
      </c>
      <c r="J9"/>
      <c r="K9"/>
      <c r="L9"/>
      <c r="M9"/>
      <c r="N9"/>
      <c r="O9"/>
      <c r="P9"/>
    </row>
    <row r="10" spans="1:16" s="1" customFormat="1" ht="22.5" customHeight="1">
      <c r="A10" s="124" t="s">
        <v>11</v>
      </c>
      <c r="B10" s="148"/>
      <c r="C10" s="148"/>
      <c r="D10" s="148"/>
      <c r="E10" s="148"/>
      <c r="F10" s="149"/>
      <c r="G10" s="68" t="s">
        <v>183</v>
      </c>
      <c r="H10" s="68" t="s">
        <v>5</v>
      </c>
      <c r="I10" s="78">
        <v>0.03</v>
      </c>
      <c r="J10"/>
      <c r="K10"/>
      <c r="L10"/>
      <c r="M10"/>
      <c r="N10"/>
      <c r="O10"/>
      <c r="P10"/>
    </row>
    <row r="11" spans="1:16" s="1" customFormat="1" ht="15" customHeight="1">
      <c r="A11" s="124" t="s">
        <v>173</v>
      </c>
      <c r="B11" s="148"/>
      <c r="C11" s="148"/>
      <c r="D11" s="148"/>
      <c r="E11" s="148"/>
      <c r="F11" s="149"/>
      <c r="G11" s="68" t="s">
        <v>15</v>
      </c>
      <c r="H11" s="68" t="s">
        <v>107</v>
      </c>
      <c r="I11" s="54">
        <v>1.1</v>
      </c>
      <c r="J11"/>
      <c r="K11"/>
      <c r="L11"/>
      <c r="M11"/>
      <c r="N11"/>
      <c r="O11"/>
      <c r="P11"/>
    </row>
    <row r="12" spans="1:16" s="1" customFormat="1" ht="15" customHeight="1">
      <c r="A12" s="150" t="s">
        <v>167</v>
      </c>
      <c r="B12" s="151"/>
      <c r="C12" s="151"/>
      <c r="D12" s="151"/>
      <c r="E12" s="151"/>
      <c r="F12" s="152"/>
      <c r="G12" s="159" t="str">
        <f>G10</f>
        <v>NOVO HAMBURGO</v>
      </c>
      <c r="H12" s="68" t="s">
        <v>132</v>
      </c>
      <c r="I12" s="54">
        <v>3.5</v>
      </c>
      <c r="J12"/>
      <c r="K12"/>
      <c r="L12"/>
      <c r="M12"/>
      <c r="N12"/>
      <c r="O12"/>
      <c r="P12"/>
    </row>
    <row r="13" spans="1:16" s="1" customFormat="1" ht="15">
      <c r="A13" s="153"/>
      <c r="B13" s="154"/>
      <c r="C13" s="154"/>
      <c r="D13" s="154"/>
      <c r="E13" s="154"/>
      <c r="F13" s="155"/>
      <c r="G13" s="159"/>
      <c r="H13" s="68" t="s">
        <v>12</v>
      </c>
      <c r="I13" s="68">
        <f>I8</f>
        <v>15</v>
      </c>
      <c r="J13"/>
      <c r="K13"/>
      <c r="L13"/>
      <c r="M13"/>
      <c r="N13"/>
      <c r="O13"/>
      <c r="P13"/>
    </row>
    <row r="14" spans="1:16" s="1" customFormat="1" ht="15">
      <c r="A14" s="153"/>
      <c r="B14" s="154"/>
      <c r="C14" s="154"/>
      <c r="D14" s="154"/>
      <c r="E14" s="154"/>
      <c r="F14" s="155"/>
      <c r="G14" s="159"/>
      <c r="H14" s="68" t="s">
        <v>13</v>
      </c>
      <c r="I14" s="68">
        <v>2</v>
      </c>
      <c r="J14"/>
      <c r="K14"/>
      <c r="L14"/>
      <c r="M14"/>
      <c r="N14"/>
      <c r="O14"/>
      <c r="P14"/>
    </row>
    <row r="15" spans="1:16" s="1" customFormat="1" ht="15">
      <c r="A15" s="156"/>
      <c r="B15" s="157"/>
      <c r="C15" s="157"/>
      <c r="D15" s="157"/>
      <c r="E15" s="157"/>
      <c r="F15" s="158"/>
      <c r="G15" s="159"/>
      <c r="H15" s="68" t="s">
        <v>14</v>
      </c>
      <c r="I15" s="55">
        <v>0.06</v>
      </c>
      <c r="J15"/>
      <c r="K15"/>
      <c r="L15"/>
      <c r="M15"/>
      <c r="N15"/>
      <c r="O15"/>
      <c r="P15"/>
    </row>
    <row r="16" spans="1:16" s="1" customFormat="1" ht="11.25" customHeight="1">
      <c r="A16" s="123" t="s">
        <v>168</v>
      </c>
      <c r="B16" s="123"/>
      <c r="C16" s="123"/>
      <c r="D16" s="123"/>
      <c r="E16" s="123"/>
      <c r="F16" s="123"/>
      <c r="G16" s="159" t="s">
        <v>15</v>
      </c>
      <c r="H16" s="68" t="s">
        <v>133</v>
      </c>
      <c r="I16" s="54">
        <v>19.23</v>
      </c>
      <c r="J16"/>
      <c r="K16"/>
      <c r="L16"/>
      <c r="M16"/>
      <c r="N16"/>
      <c r="O16"/>
      <c r="P16"/>
    </row>
    <row r="17" spans="1:9" ht="11.25" customHeight="1">
      <c r="A17" s="123"/>
      <c r="B17" s="123"/>
      <c r="C17" s="123"/>
      <c r="D17" s="123"/>
      <c r="E17" s="123"/>
      <c r="F17" s="123"/>
      <c r="G17" s="159"/>
      <c r="H17" s="68" t="s">
        <v>12</v>
      </c>
      <c r="I17" s="56">
        <f>I8</f>
        <v>15</v>
      </c>
    </row>
    <row r="18" spans="1:9" ht="11.25" customHeight="1">
      <c r="A18" s="123"/>
      <c r="B18" s="123"/>
      <c r="C18" s="123"/>
      <c r="D18" s="123"/>
      <c r="E18" s="123"/>
      <c r="F18" s="123"/>
      <c r="G18" s="159"/>
      <c r="H18" s="68" t="s">
        <v>16</v>
      </c>
      <c r="I18" s="56">
        <v>1</v>
      </c>
    </row>
    <row r="19" spans="1:9" ht="11.25">
      <c r="A19" s="123"/>
      <c r="B19" s="123"/>
      <c r="C19" s="123"/>
      <c r="D19" s="123"/>
      <c r="E19" s="123"/>
      <c r="F19" s="123"/>
      <c r="G19" s="159"/>
      <c r="H19" s="68" t="s">
        <v>14</v>
      </c>
      <c r="I19" s="55">
        <v>0.2</v>
      </c>
    </row>
    <row r="20" spans="1:9" ht="24" customHeight="1">
      <c r="A20" s="124" t="s">
        <v>169</v>
      </c>
      <c r="B20" s="148"/>
      <c r="C20" s="148"/>
      <c r="D20" s="148"/>
      <c r="E20" s="148"/>
      <c r="F20" s="149"/>
      <c r="G20" s="68" t="s">
        <v>15</v>
      </c>
      <c r="H20" s="50" t="s">
        <v>109</v>
      </c>
      <c r="I20" s="56">
        <v>15</v>
      </c>
    </row>
    <row r="21" spans="1:9" ht="11.25">
      <c r="A21" s="123" t="s">
        <v>131</v>
      </c>
      <c r="B21" s="123"/>
      <c r="C21" s="123"/>
      <c r="D21" s="123"/>
      <c r="E21" s="123"/>
      <c r="F21" s="123"/>
      <c r="G21" s="68"/>
      <c r="H21" s="68" t="s">
        <v>5</v>
      </c>
      <c r="I21" s="55">
        <v>0.2</v>
      </c>
    </row>
    <row r="22" ht="4.5" customHeight="1"/>
    <row r="23" spans="1:9" ht="17.25" customHeight="1">
      <c r="A23" s="92" t="s">
        <v>17</v>
      </c>
      <c r="B23" s="92"/>
      <c r="C23" s="92"/>
      <c r="D23" s="92"/>
      <c r="E23" s="92"/>
      <c r="F23" s="92"/>
      <c r="G23" s="92"/>
      <c r="H23" s="92"/>
      <c r="I23" s="92"/>
    </row>
    <row r="24" spans="1:9" ht="45">
      <c r="A24" s="5" t="s">
        <v>18</v>
      </c>
      <c r="B24" s="126" t="s">
        <v>19</v>
      </c>
      <c r="C24" s="127"/>
      <c r="D24" s="127"/>
      <c r="E24" s="127"/>
      <c r="F24" s="127"/>
      <c r="G24" s="128"/>
      <c r="H24" s="5" t="s">
        <v>20</v>
      </c>
      <c r="I24" s="5" t="s">
        <v>21</v>
      </c>
    </row>
    <row r="25" spans="1:9" ht="15" customHeight="1">
      <c r="A25" s="69">
        <v>1</v>
      </c>
      <c r="B25" s="93" t="s">
        <v>22</v>
      </c>
      <c r="C25" s="94"/>
      <c r="D25" s="94"/>
      <c r="E25" s="94"/>
      <c r="F25" s="94"/>
      <c r="G25" s="95"/>
      <c r="H25" s="6">
        <f>I25/$I$30</f>
        <v>0.7625449067099316</v>
      </c>
      <c r="I25" s="7">
        <f>I9/H9*I5</f>
        <v>1447.6</v>
      </c>
    </row>
    <row r="26" spans="1:9" ht="15" customHeight="1">
      <c r="A26" s="69">
        <v>2</v>
      </c>
      <c r="B26" s="93" t="s">
        <v>165</v>
      </c>
      <c r="C26" s="94"/>
      <c r="D26" s="94"/>
      <c r="E26" s="94"/>
      <c r="F26" s="94"/>
      <c r="G26" s="95"/>
      <c r="H26" s="6">
        <f>I26/$I$30</f>
        <v>0.008691621277088887</v>
      </c>
      <c r="I26" s="72">
        <f>I11*I8</f>
        <v>16.5</v>
      </c>
    </row>
    <row r="27" spans="1:10" ht="15" customHeight="1">
      <c r="A27" s="69">
        <v>3</v>
      </c>
      <c r="B27" s="93" t="s">
        <v>175</v>
      </c>
      <c r="C27" s="94"/>
      <c r="D27" s="94"/>
      <c r="E27" s="94"/>
      <c r="F27" s="94"/>
      <c r="G27" s="95"/>
      <c r="H27" s="6">
        <f>I27/$I$30</f>
        <v>0.22876347201297947</v>
      </c>
      <c r="I27" s="7">
        <f>(I25)*I6*I7</f>
        <v>434.28</v>
      </c>
      <c r="J27" s="84"/>
    </row>
    <row r="28" spans="1:9" ht="15" customHeight="1">
      <c r="A28" s="8">
        <v>4</v>
      </c>
      <c r="B28" s="93" t="s">
        <v>147</v>
      </c>
      <c r="C28" s="94"/>
      <c r="D28" s="94"/>
      <c r="E28" s="94"/>
      <c r="F28" s="94"/>
      <c r="G28" s="95"/>
      <c r="H28" s="6">
        <f>I28/$I$30</f>
        <v>0</v>
      </c>
      <c r="I28" s="7">
        <v>0</v>
      </c>
    </row>
    <row r="29" spans="1:10" ht="15">
      <c r="A29" s="69">
        <v>5</v>
      </c>
      <c r="B29" s="93" t="s">
        <v>176</v>
      </c>
      <c r="C29" s="94"/>
      <c r="D29" s="94"/>
      <c r="E29" s="94"/>
      <c r="F29" s="94"/>
      <c r="G29" s="95"/>
      <c r="H29" s="6">
        <f>I29/$I$30</f>
        <v>0</v>
      </c>
      <c r="I29" s="7">
        <v>0</v>
      </c>
      <c r="J29" s="43"/>
    </row>
    <row r="30" spans="1:16" s="10" customFormat="1" ht="15" customHeight="1">
      <c r="A30" s="116" t="s">
        <v>148</v>
      </c>
      <c r="B30" s="117"/>
      <c r="C30" s="117"/>
      <c r="D30" s="117"/>
      <c r="E30" s="117"/>
      <c r="F30" s="117"/>
      <c r="G30" s="118"/>
      <c r="H30" s="9">
        <f>SUM(H25:H29)</f>
        <v>1</v>
      </c>
      <c r="I30" s="73">
        <f>SUM(I25:I29)</f>
        <v>1898.3799999999999</v>
      </c>
      <c r="J30" s="43"/>
      <c r="K30"/>
      <c r="L30"/>
      <c r="M30"/>
      <c r="N30"/>
      <c r="O30"/>
      <c r="P30"/>
    </row>
    <row r="31" spans="1:16" s="10" customFormat="1" ht="15">
      <c r="A31" s="11"/>
      <c r="B31" s="11"/>
      <c r="C31" s="11"/>
      <c r="D31" s="11"/>
      <c r="E31" s="11"/>
      <c r="F31" s="11"/>
      <c r="G31" s="11"/>
      <c r="H31" s="12"/>
      <c r="I31" s="13"/>
      <c r="J31"/>
      <c r="K31"/>
      <c r="L31"/>
      <c r="M31"/>
      <c r="N31"/>
      <c r="O31"/>
      <c r="P31"/>
    </row>
    <row r="32" ht="4.5" customHeight="1"/>
    <row r="33" spans="1:9" ht="33.75" customHeight="1">
      <c r="A33" s="5" t="s">
        <v>23</v>
      </c>
      <c r="B33" s="126" t="s">
        <v>24</v>
      </c>
      <c r="C33" s="127"/>
      <c r="D33" s="127"/>
      <c r="E33" s="127"/>
      <c r="F33" s="127"/>
      <c r="G33" s="128"/>
      <c r="H33" s="5" t="s">
        <v>20</v>
      </c>
      <c r="I33" s="5" t="s">
        <v>21</v>
      </c>
    </row>
    <row r="34" spans="1:9" ht="15" customHeight="1">
      <c r="A34" s="69">
        <v>1</v>
      </c>
      <c r="B34" s="93" t="s">
        <v>110</v>
      </c>
      <c r="C34" s="94"/>
      <c r="D34" s="94"/>
      <c r="E34" s="94"/>
      <c r="F34" s="94"/>
      <c r="G34" s="95"/>
      <c r="H34" s="6">
        <v>0.2</v>
      </c>
      <c r="I34" s="7">
        <f>($I$30-I26)*H34</f>
        <v>376.376</v>
      </c>
    </row>
    <row r="35" spans="1:9" ht="15" customHeight="1">
      <c r="A35" s="69">
        <v>2</v>
      </c>
      <c r="B35" s="93" t="s">
        <v>111</v>
      </c>
      <c r="C35" s="94"/>
      <c r="D35" s="94"/>
      <c r="E35" s="94"/>
      <c r="F35" s="94"/>
      <c r="G35" s="95"/>
      <c r="H35" s="6">
        <v>0.015</v>
      </c>
      <c r="I35" s="7">
        <f>$I$30*H35</f>
        <v>28.475699999999996</v>
      </c>
    </row>
    <row r="36" spans="1:9" ht="15" customHeight="1">
      <c r="A36" s="69">
        <v>3</v>
      </c>
      <c r="B36" s="93" t="s">
        <v>112</v>
      </c>
      <c r="C36" s="94"/>
      <c r="D36" s="94"/>
      <c r="E36" s="94"/>
      <c r="F36" s="94"/>
      <c r="G36" s="95"/>
      <c r="H36" s="6">
        <v>0.01</v>
      </c>
      <c r="I36" s="7">
        <f aca="true" t="shared" si="0" ref="I36:I41">$I$30*H36</f>
        <v>18.9838</v>
      </c>
    </row>
    <row r="37" spans="1:9" ht="15" customHeight="1">
      <c r="A37" s="69">
        <v>4</v>
      </c>
      <c r="B37" s="93" t="s">
        <v>113</v>
      </c>
      <c r="C37" s="94"/>
      <c r="D37" s="94"/>
      <c r="E37" s="94"/>
      <c r="F37" s="94"/>
      <c r="G37" s="95"/>
      <c r="H37" s="6">
        <v>0.002</v>
      </c>
      <c r="I37" s="7">
        <f>$I$30*H37</f>
        <v>3.79676</v>
      </c>
    </row>
    <row r="38" spans="1:9" ht="15" customHeight="1">
      <c r="A38" s="69">
        <v>5</v>
      </c>
      <c r="B38" s="93" t="s">
        <v>114</v>
      </c>
      <c r="C38" s="94"/>
      <c r="D38" s="94"/>
      <c r="E38" s="94"/>
      <c r="F38" s="94"/>
      <c r="G38" s="95"/>
      <c r="H38" s="6">
        <v>0.025</v>
      </c>
      <c r="I38" s="7">
        <f t="shared" si="0"/>
        <v>47.4595</v>
      </c>
    </row>
    <row r="39" spans="1:9" ht="15" customHeight="1">
      <c r="A39" s="69">
        <v>6</v>
      </c>
      <c r="B39" s="93" t="s">
        <v>115</v>
      </c>
      <c r="C39" s="94"/>
      <c r="D39" s="94"/>
      <c r="E39" s="94"/>
      <c r="F39" s="94"/>
      <c r="G39" s="95"/>
      <c r="H39" s="6">
        <v>0.08</v>
      </c>
      <c r="I39" s="7">
        <f>($I$30-I26)*H39</f>
        <v>150.5504</v>
      </c>
    </row>
    <row r="40" spans="1:9" ht="15" customHeight="1">
      <c r="A40" s="69">
        <v>7</v>
      </c>
      <c r="B40" s="93" t="s">
        <v>116</v>
      </c>
      <c r="C40" s="94"/>
      <c r="D40" s="94"/>
      <c r="E40" s="94"/>
      <c r="F40" s="94"/>
      <c r="G40" s="95"/>
      <c r="H40" s="6">
        <v>0.03</v>
      </c>
      <c r="I40" s="7">
        <f>$I$30*H40</f>
        <v>56.95139999999999</v>
      </c>
    </row>
    <row r="41" spans="1:9" ht="15" customHeight="1">
      <c r="A41" s="69">
        <v>8</v>
      </c>
      <c r="B41" s="93" t="s">
        <v>117</v>
      </c>
      <c r="C41" s="94"/>
      <c r="D41" s="94"/>
      <c r="E41" s="94"/>
      <c r="F41" s="94"/>
      <c r="G41" s="95"/>
      <c r="H41" s="6">
        <v>0.006</v>
      </c>
      <c r="I41" s="7">
        <f t="shared" si="0"/>
        <v>11.390279999999999</v>
      </c>
    </row>
    <row r="42" spans="1:16" s="10" customFormat="1" ht="15" customHeight="1">
      <c r="A42" s="116" t="s">
        <v>25</v>
      </c>
      <c r="B42" s="117"/>
      <c r="C42" s="117"/>
      <c r="D42" s="117"/>
      <c r="E42" s="117"/>
      <c r="F42" s="117"/>
      <c r="G42" s="118"/>
      <c r="H42" s="9">
        <f>SUM(H34:H41)</f>
        <v>0.3680000000000001</v>
      </c>
      <c r="I42" s="73">
        <f>SUM(I34:I41)</f>
        <v>693.98384</v>
      </c>
      <c r="J42"/>
      <c r="K42"/>
      <c r="L42"/>
      <c r="M42"/>
      <c r="N42"/>
      <c r="O42"/>
      <c r="P42"/>
    </row>
    <row r="43" spans="1:9" ht="15" customHeight="1">
      <c r="A43" s="147" t="s">
        <v>26</v>
      </c>
      <c r="B43" s="147"/>
      <c r="C43" s="147"/>
      <c r="D43" s="147"/>
      <c r="E43" s="147"/>
      <c r="F43" s="147"/>
      <c r="G43" s="147"/>
      <c r="H43" s="147"/>
      <c r="I43" s="147"/>
    </row>
    <row r="44" spans="1:9" ht="30.75" customHeight="1">
      <c r="A44" s="146" t="s">
        <v>164</v>
      </c>
      <c r="B44" s="146"/>
      <c r="C44" s="146"/>
      <c r="D44" s="146"/>
      <c r="E44" s="146"/>
      <c r="F44" s="146"/>
      <c r="G44" s="146"/>
      <c r="H44" s="146"/>
      <c r="I44" s="146"/>
    </row>
    <row r="45" spans="1:9" ht="33.75" customHeight="1">
      <c r="A45" s="5" t="s">
        <v>27</v>
      </c>
      <c r="B45" s="126" t="s">
        <v>28</v>
      </c>
      <c r="C45" s="127"/>
      <c r="D45" s="127"/>
      <c r="E45" s="127"/>
      <c r="F45" s="127"/>
      <c r="G45" s="128"/>
      <c r="H45" s="5" t="s">
        <v>20</v>
      </c>
      <c r="I45" s="5" t="s">
        <v>21</v>
      </c>
    </row>
    <row r="46" spans="1:9" ht="15" customHeight="1">
      <c r="A46" s="69">
        <v>1</v>
      </c>
      <c r="B46" s="93" t="s">
        <v>134</v>
      </c>
      <c r="C46" s="94"/>
      <c r="D46" s="94"/>
      <c r="E46" s="94"/>
      <c r="F46" s="94"/>
      <c r="G46" s="95"/>
      <c r="H46" s="6">
        <v>0.1111</v>
      </c>
      <c r="I46" s="7">
        <f>($I$30-I26)*H46</f>
        <v>209.076868</v>
      </c>
    </row>
    <row r="47" spans="1:9" ht="15" customHeight="1">
      <c r="A47" s="69">
        <v>2</v>
      </c>
      <c r="B47" s="93" t="s">
        <v>135</v>
      </c>
      <c r="C47" s="94"/>
      <c r="D47" s="94"/>
      <c r="E47" s="94"/>
      <c r="F47" s="94"/>
      <c r="G47" s="95"/>
      <c r="H47" s="6">
        <v>0.02047</v>
      </c>
      <c r="I47" s="7">
        <f>$I$30*H47</f>
        <v>38.859838599999996</v>
      </c>
    </row>
    <row r="48" spans="1:9" ht="15" customHeight="1">
      <c r="A48" s="69">
        <v>3</v>
      </c>
      <c r="B48" s="93" t="s">
        <v>136</v>
      </c>
      <c r="C48" s="94"/>
      <c r="D48" s="94"/>
      <c r="E48" s="94"/>
      <c r="F48" s="94"/>
      <c r="G48" s="95"/>
      <c r="H48" s="6">
        <v>0.012123</v>
      </c>
      <c r="I48" s="7">
        <f>$I$30*H48</f>
        <v>23.014060739999998</v>
      </c>
    </row>
    <row r="49" spans="1:9" ht="15" customHeight="1">
      <c r="A49" s="69">
        <v>4</v>
      </c>
      <c r="B49" s="93" t="s">
        <v>137</v>
      </c>
      <c r="C49" s="94"/>
      <c r="D49" s="94"/>
      <c r="E49" s="94"/>
      <c r="F49" s="94"/>
      <c r="G49" s="95"/>
      <c r="H49" s="6">
        <v>0.011436</v>
      </c>
      <c r="I49" s="7">
        <f>$I$30*H49</f>
        <v>21.709873679999998</v>
      </c>
    </row>
    <row r="50" spans="1:9" ht="15" customHeight="1">
      <c r="A50" s="69">
        <v>5</v>
      </c>
      <c r="B50" s="93" t="s">
        <v>138</v>
      </c>
      <c r="C50" s="94"/>
      <c r="D50" s="94"/>
      <c r="E50" s="94"/>
      <c r="F50" s="94"/>
      <c r="G50" s="95"/>
      <c r="H50" s="6">
        <v>0.000174</v>
      </c>
      <c r="I50" s="7">
        <f>$I$30*H50</f>
        <v>0.33031812</v>
      </c>
    </row>
    <row r="51" spans="1:9" ht="15" customHeight="1">
      <c r="A51" s="69">
        <v>6</v>
      </c>
      <c r="B51" s="93" t="s">
        <v>139</v>
      </c>
      <c r="C51" s="94"/>
      <c r="D51" s="94"/>
      <c r="E51" s="94"/>
      <c r="F51" s="94"/>
      <c r="G51" s="95"/>
      <c r="H51" s="6">
        <v>0.000442</v>
      </c>
      <c r="I51" s="7">
        <f>$I$30*H51</f>
        <v>0.83908396</v>
      </c>
    </row>
    <row r="52" spans="1:9" ht="15" customHeight="1">
      <c r="A52" s="69">
        <v>7</v>
      </c>
      <c r="B52" s="93" t="s">
        <v>140</v>
      </c>
      <c r="C52" s="94"/>
      <c r="D52" s="94"/>
      <c r="E52" s="94"/>
      <c r="F52" s="94"/>
      <c r="G52" s="95"/>
      <c r="H52" s="6">
        <v>0.000185</v>
      </c>
      <c r="I52" s="7">
        <f>($I$30-I26)*H52</f>
        <v>0.34814779999999995</v>
      </c>
    </row>
    <row r="53" spans="1:9" ht="15" customHeight="1">
      <c r="A53" s="69">
        <v>8</v>
      </c>
      <c r="B53" s="93" t="s">
        <v>141</v>
      </c>
      <c r="C53" s="94"/>
      <c r="D53" s="94"/>
      <c r="E53" s="94"/>
      <c r="F53" s="94"/>
      <c r="G53" s="95"/>
      <c r="H53" s="6">
        <v>0.09079</v>
      </c>
      <c r="I53" s="7">
        <f>($I$30-I26)*H53</f>
        <v>170.8558852</v>
      </c>
    </row>
    <row r="54" spans="1:16" s="10" customFormat="1" ht="15" customHeight="1">
      <c r="A54" s="116" t="s">
        <v>29</v>
      </c>
      <c r="B54" s="117"/>
      <c r="C54" s="117"/>
      <c r="D54" s="117"/>
      <c r="E54" s="117"/>
      <c r="F54" s="117"/>
      <c r="G54" s="118"/>
      <c r="H54" s="9">
        <f>SUM(H46:H53)</f>
        <v>0.24672</v>
      </c>
      <c r="I54" s="73">
        <f>SUM(I46:I53)</f>
        <v>465.03407609999994</v>
      </c>
      <c r="J54"/>
      <c r="K54"/>
      <c r="L54"/>
      <c r="M54"/>
      <c r="N54"/>
      <c r="O54"/>
      <c r="P54"/>
    </row>
    <row r="55" spans="1:9" ht="11.25" customHeight="1">
      <c r="A55" s="15" t="s">
        <v>30</v>
      </c>
      <c r="B55" s="119" t="s">
        <v>31</v>
      </c>
      <c r="C55" s="119"/>
      <c r="D55" s="119"/>
      <c r="E55" s="119"/>
      <c r="F55" s="119"/>
      <c r="G55" s="119"/>
      <c r="H55" s="119"/>
      <c r="I55" s="119"/>
    </row>
    <row r="56" spans="1:9" ht="15" customHeight="1">
      <c r="A56" s="15" t="s">
        <v>32</v>
      </c>
      <c r="B56" s="145" t="s">
        <v>33</v>
      </c>
      <c r="C56" s="145"/>
      <c r="D56" s="145"/>
      <c r="E56" s="145"/>
      <c r="F56" s="145"/>
      <c r="G56" s="145"/>
      <c r="H56" s="145"/>
      <c r="I56" s="145"/>
    </row>
    <row r="57" spans="1:9" ht="33.75" customHeight="1">
      <c r="A57" s="5" t="s">
        <v>34</v>
      </c>
      <c r="B57" s="126" t="s">
        <v>35</v>
      </c>
      <c r="C57" s="127"/>
      <c r="D57" s="127"/>
      <c r="E57" s="127"/>
      <c r="F57" s="127"/>
      <c r="G57" s="128"/>
      <c r="H57" s="5" t="s">
        <v>20</v>
      </c>
      <c r="I57" s="5" t="s">
        <v>21</v>
      </c>
    </row>
    <row r="58" spans="1:9" ht="15" customHeight="1">
      <c r="A58" s="69">
        <v>1</v>
      </c>
      <c r="B58" s="93" t="s">
        <v>142</v>
      </c>
      <c r="C58" s="94"/>
      <c r="D58" s="94"/>
      <c r="E58" s="94"/>
      <c r="F58" s="94"/>
      <c r="G58" s="95"/>
      <c r="H58" s="6">
        <v>0.023627</v>
      </c>
      <c r="I58" s="7">
        <f>($I$30-I26)*H58</f>
        <v>44.46317876</v>
      </c>
    </row>
    <row r="59" spans="1:9" ht="15" customHeight="1">
      <c r="A59" s="69">
        <v>2</v>
      </c>
      <c r="B59" s="93" t="s">
        <v>143</v>
      </c>
      <c r="C59" s="94"/>
      <c r="D59" s="94"/>
      <c r="E59" s="94"/>
      <c r="F59" s="94"/>
      <c r="G59" s="95"/>
      <c r="H59" s="6">
        <v>0.001717</v>
      </c>
      <c r="I59" s="7">
        <f>($I$30-I26)*H59</f>
        <v>3.2311879599999997</v>
      </c>
    </row>
    <row r="60" spans="1:9" ht="15" customHeight="1">
      <c r="A60" s="69">
        <v>3</v>
      </c>
      <c r="B60" s="93" t="s">
        <v>144</v>
      </c>
      <c r="C60" s="94"/>
      <c r="D60" s="94"/>
      <c r="E60" s="94"/>
      <c r="F60" s="94"/>
      <c r="G60" s="95"/>
      <c r="H60" s="6">
        <v>0.011813</v>
      </c>
      <c r="I60" s="7">
        <f>($I$30-I26)*H60</f>
        <v>22.23064844</v>
      </c>
    </row>
    <row r="61" spans="1:16" s="10" customFormat="1" ht="15" customHeight="1">
      <c r="A61" s="116" t="s">
        <v>36</v>
      </c>
      <c r="B61" s="117"/>
      <c r="C61" s="117"/>
      <c r="D61" s="117"/>
      <c r="E61" s="117"/>
      <c r="F61" s="117"/>
      <c r="G61" s="118"/>
      <c r="H61" s="9">
        <f>SUM(H58:H60)</f>
        <v>0.037156999999999996</v>
      </c>
      <c r="I61" s="73">
        <f>SUM(I58:I60)</f>
        <v>69.92501516</v>
      </c>
      <c r="J61"/>
      <c r="K61"/>
      <c r="L61"/>
      <c r="M61"/>
      <c r="N61"/>
      <c r="O61"/>
      <c r="P61"/>
    </row>
    <row r="62" ht="4.5" customHeight="1"/>
    <row r="63" spans="1:9" ht="45">
      <c r="A63" s="5" t="s">
        <v>37</v>
      </c>
      <c r="B63" s="126" t="s">
        <v>38</v>
      </c>
      <c r="C63" s="127"/>
      <c r="D63" s="127"/>
      <c r="E63" s="127"/>
      <c r="F63" s="127"/>
      <c r="G63" s="128"/>
      <c r="H63" s="5" t="s">
        <v>20</v>
      </c>
      <c r="I63" s="5" t="s">
        <v>21</v>
      </c>
    </row>
    <row r="64" spans="1:9" ht="15" customHeight="1">
      <c r="A64" s="69">
        <v>1</v>
      </c>
      <c r="B64" s="93" t="s">
        <v>145</v>
      </c>
      <c r="C64" s="94"/>
      <c r="D64" s="94"/>
      <c r="E64" s="94"/>
      <c r="F64" s="94"/>
      <c r="G64" s="95"/>
      <c r="H64" s="6">
        <f>(H42*H54)</f>
        <v>0.09079296000000002</v>
      </c>
      <c r="I64" s="7">
        <f>I30*H64</f>
        <v>172.35953940480002</v>
      </c>
    </row>
    <row r="65" spans="1:16" s="10" customFormat="1" ht="15" customHeight="1">
      <c r="A65" s="116" t="s">
        <v>39</v>
      </c>
      <c r="B65" s="117"/>
      <c r="C65" s="117"/>
      <c r="D65" s="117"/>
      <c r="E65" s="117"/>
      <c r="F65" s="117"/>
      <c r="G65" s="118"/>
      <c r="H65" s="9">
        <f>SUM(H64:H64)</f>
        <v>0.09079296000000002</v>
      </c>
      <c r="I65" s="73">
        <f>I64</f>
        <v>172.35953940480002</v>
      </c>
      <c r="J65"/>
      <c r="K65"/>
      <c r="L65"/>
      <c r="M65"/>
      <c r="N65"/>
      <c r="O65"/>
      <c r="P65"/>
    </row>
    <row r="66" ht="4.5" customHeight="1"/>
    <row r="67" spans="1:16" s="10" customFormat="1" ht="15">
      <c r="A67" s="144" t="s">
        <v>40</v>
      </c>
      <c r="B67" s="144"/>
      <c r="C67" s="144"/>
      <c r="D67" s="144"/>
      <c r="E67" s="144"/>
      <c r="F67" s="144"/>
      <c r="G67" s="144"/>
      <c r="H67" s="16">
        <f>H42+H54+H61+H65</f>
        <v>0.7426699600000002</v>
      </c>
      <c r="I67" s="17">
        <f>I42+I54+I61+I65</f>
        <v>1401.3024706647998</v>
      </c>
      <c r="J67"/>
      <c r="K67"/>
      <c r="L67"/>
      <c r="M67"/>
      <c r="N67"/>
      <c r="O67"/>
      <c r="P67"/>
    </row>
    <row r="68" ht="4.5" customHeight="1"/>
    <row r="69" spans="1:9" ht="45">
      <c r="A69" s="5" t="s">
        <v>41</v>
      </c>
      <c r="B69" s="126" t="s">
        <v>42</v>
      </c>
      <c r="C69" s="127"/>
      <c r="D69" s="127"/>
      <c r="E69" s="127"/>
      <c r="F69" s="127"/>
      <c r="G69" s="128"/>
      <c r="H69" s="5" t="s">
        <v>20</v>
      </c>
      <c r="I69" s="5" t="s">
        <v>21</v>
      </c>
    </row>
    <row r="70" spans="1:9" ht="15" customHeight="1">
      <c r="A70" s="67">
        <v>1</v>
      </c>
      <c r="B70" s="93" t="s">
        <v>146</v>
      </c>
      <c r="C70" s="94"/>
      <c r="D70" s="94"/>
      <c r="E70" s="94"/>
      <c r="F70" s="94"/>
      <c r="G70" s="95"/>
      <c r="H70" s="6">
        <f>I70/$I$30</f>
        <v>0.12155627429703221</v>
      </c>
      <c r="I70" s="7">
        <f>I81</f>
        <v>230.76</v>
      </c>
    </row>
    <row r="71" spans="1:9" ht="15" customHeight="1">
      <c r="A71" s="67">
        <v>2</v>
      </c>
      <c r="B71" s="93" t="s">
        <v>43</v>
      </c>
      <c r="C71" s="94"/>
      <c r="D71" s="94"/>
      <c r="E71" s="94"/>
      <c r="F71" s="94"/>
      <c r="G71" s="95"/>
      <c r="H71" s="6">
        <f>I71/$I$30</f>
        <v>0.009557622815242474</v>
      </c>
      <c r="I71" s="7">
        <f>I77</f>
        <v>18.144000000000005</v>
      </c>
    </row>
    <row r="72" spans="1:9" ht="15" customHeight="1">
      <c r="A72" s="69">
        <v>3</v>
      </c>
      <c r="B72" s="93" t="s">
        <v>185</v>
      </c>
      <c r="C72" s="94"/>
      <c r="D72" s="94"/>
      <c r="E72" s="94"/>
      <c r="F72" s="94"/>
      <c r="G72" s="95"/>
      <c r="H72" s="6">
        <f>I72/$I$30</f>
        <v>0.0779875472771521</v>
      </c>
      <c r="I72" s="7">
        <f>($I$9/$H$9)*1.5*($I$20)</f>
        <v>148.04999999999998</v>
      </c>
    </row>
    <row r="73" spans="1:9" ht="15" customHeight="1">
      <c r="A73" s="116" t="s">
        <v>45</v>
      </c>
      <c r="B73" s="117"/>
      <c r="C73" s="117"/>
      <c r="D73" s="117"/>
      <c r="E73" s="117"/>
      <c r="F73" s="117"/>
      <c r="G73" s="118"/>
      <c r="H73" s="9">
        <f>H70+H71+H72</f>
        <v>0.2091014443894268</v>
      </c>
      <c r="I73" s="73">
        <f>SUM(I70:I72)</f>
        <v>396.95399999999995</v>
      </c>
    </row>
    <row r="74" spans="1:9" ht="4.5" customHeight="1">
      <c r="A74" s="11"/>
      <c r="B74" s="11"/>
      <c r="C74" s="11"/>
      <c r="D74" s="11"/>
      <c r="E74" s="11"/>
      <c r="F74" s="11"/>
      <c r="G74" s="11"/>
      <c r="H74" s="12"/>
      <c r="I74" s="13"/>
    </row>
    <row r="75" spans="1:9" ht="15" customHeight="1">
      <c r="A75" s="142" t="s">
        <v>46</v>
      </c>
      <c r="B75" s="142"/>
      <c r="C75" s="142"/>
      <c r="D75" s="142"/>
      <c r="E75" s="142"/>
      <c r="F75" s="142"/>
      <c r="G75" s="142"/>
      <c r="H75" s="142"/>
      <c r="I75" s="142"/>
    </row>
    <row r="76" spans="1:9" ht="24" customHeight="1">
      <c r="A76" s="123" t="s">
        <v>47</v>
      </c>
      <c r="B76" s="123"/>
      <c r="C76" s="69" t="s">
        <v>48</v>
      </c>
      <c r="D76" s="69" t="s">
        <v>49</v>
      </c>
      <c r="E76" s="69" t="s">
        <v>50</v>
      </c>
      <c r="F76" s="69" t="s">
        <v>51</v>
      </c>
      <c r="G76" s="69" t="s">
        <v>52</v>
      </c>
      <c r="H76" s="6" t="s">
        <v>53</v>
      </c>
      <c r="I76" s="7" t="s">
        <v>54</v>
      </c>
    </row>
    <row r="77" spans="1:9" ht="15" customHeight="1">
      <c r="A77" s="143">
        <f>I12</f>
        <v>3.5</v>
      </c>
      <c r="B77" s="143"/>
      <c r="C77" s="69">
        <f>I13</f>
        <v>15</v>
      </c>
      <c r="D77" s="69">
        <f>I14</f>
        <v>2</v>
      </c>
      <c r="E77" s="70">
        <f>A77*C77*D77</f>
        <v>105</v>
      </c>
      <c r="F77" s="7">
        <f>I25</f>
        <v>1447.6</v>
      </c>
      <c r="G77" s="18">
        <f>I15</f>
        <v>0.06</v>
      </c>
      <c r="H77" s="70">
        <f>F77*G77</f>
        <v>86.856</v>
      </c>
      <c r="I77" s="7">
        <f>(IF(H77&gt;=E77,0,E77-H77))</f>
        <v>18.144000000000005</v>
      </c>
    </row>
    <row r="78" spans="1:9" ht="4.5" customHeight="1">
      <c r="A78" s="19"/>
      <c r="B78" s="19"/>
      <c r="C78" s="19"/>
      <c r="D78" s="19"/>
      <c r="E78" s="20"/>
      <c r="F78" s="20"/>
      <c r="G78" s="21"/>
      <c r="H78" s="20"/>
      <c r="I78" s="22"/>
    </row>
    <row r="79" spans="1:9" ht="15" customHeight="1">
      <c r="A79" s="142" t="s">
        <v>55</v>
      </c>
      <c r="B79" s="142"/>
      <c r="C79" s="142"/>
      <c r="D79" s="142"/>
      <c r="E79" s="142"/>
      <c r="F79" s="142"/>
      <c r="G79" s="142"/>
      <c r="H79" s="142"/>
      <c r="I79" s="142"/>
    </row>
    <row r="80" spans="1:9" ht="26.25" customHeight="1">
      <c r="A80" s="123" t="s">
        <v>47</v>
      </c>
      <c r="B80" s="123"/>
      <c r="C80" s="69" t="s">
        <v>56</v>
      </c>
      <c r="D80" s="69" t="s">
        <v>49</v>
      </c>
      <c r="E80" s="69" t="s">
        <v>50</v>
      </c>
      <c r="F80" s="69" t="s">
        <v>51</v>
      </c>
      <c r="G80" s="69" t="s">
        <v>52</v>
      </c>
      <c r="H80" s="6" t="str">
        <f>H76</f>
        <v>Valor desconto</v>
      </c>
      <c r="I80" s="7" t="s">
        <v>54</v>
      </c>
    </row>
    <row r="81" spans="1:9" ht="15" customHeight="1">
      <c r="A81" s="143">
        <f>I16</f>
        <v>19.23</v>
      </c>
      <c r="B81" s="143"/>
      <c r="C81" s="69">
        <f>I17</f>
        <v>15</v>
      </c>
      <c r="D81" s="69">
        <f>I18</f>
        <v>1</v>
      </c>
      <c r="E81" s="70">
        <f>A81*C81*D81</f>
        <v>288.45</v>
      </c>
      <c r="F81" s="70">
        <f>E81</f>
        <v>288.45</v>
      </c>
      <c r="G81" s="18">
        <f>I19</f>
        <v>0.2</v>
      </c>
      <c r="H81" s="70">
        <f>F81*G81</f>
        <v>57.69</v>
      </c>
      <c r="I81" s="7">
        <f>(IF(H81&gt;=E81,0,E81-H81))</f>
        <v>230.76</v>
      </c>
    </row>
    <row r="82" ht="4.5" customHeight="1"/>
    <row r="83" spans="1:9" ht="12">
      <c r="A83" s="101" t="s">
        <v>130</v>
      </c>
      <c r="B83" s="101"/>
      <c r="C83" s="101"/>
      <c r="D83" s="101"/>
      <c r="E83" s="101"/>
      <c r="F83" s="101"/>
      <c r="G83" s="101"/>
      <c r="H83" s="24">
        <f>H30+H67+H73</f>
        <v>1.951771404389427</v>
      </c>
      <c r="I83" s="25">
        <f>I30+I67+I73</f>
        <v>3696.636470664799</v>
      </c>
    </row>
    <row r="84" spans="1:16" s="29" customFormat="1" ht="4.5" customHeight="1">
      <c r="A84" s="26"/>
      <c r="B84" s="26"/>
      <c r="C84" s="26"/>
      <c r="D84" s="26"/>
      <c r="E84" s="26"/>
      <c r="F84" s="26"/>
      <c r="G84" s="26"/>
      <c r="H84" s="27"/>
      <c r="I84" s="28"/>
      <c r="J84"/>
      <c r="K84"/>
      <c r="L84"/>
      <c r="M84"/>
      <c r="N84"/>
      <c r="O84"/>
      <c r="P84"/>
    </row>
    <row r="85" spans="1:9" ht="11.25">
      <c r="A85" s="92" t="s">
        <v>57</v>
      </c>
      <c r="B85" s="92"/>
      <c r="C85" s="92"/>
      <c r="D85" s="92"/>
      <c r="E85" s="92"/>
      <c r="F85" s="92"/>
      <c r="G85" s="92"/>
      <c r="H85" s="92"/>
      <c r="I85" s="92"/>
    </row>
    <row r="86" spans="1:9" ht="45">
      <c r="A86" s="5" t="s">
        <v>18</v>
      </c>
      <c r="B86" s="126" t="s">
        <v>58</v>
      </c>
      <c r="C86" s="127"/>
      <c r="D86" s="127"/>
      <c r="E86" s="127"/>
      <c r="F86" s="127"/>
      <c r="G86" s="128"/>
      <c r="H86" s="5" t="s">
        <v>20</v>
      </c>
      <c r="I86" s="5" t="s">
        <v>21</v>
      </c>
    </row>
    <row r="87" spans="1:9" ht="15" customHeight="1">
      <c r="A87" s="69">
        <v>1</v>
      </c>
      <c r="B87" s="93" t="s">
        <v>59</v>
      </c>
      <c r="C87" s="94"/>
      <c r="D87" s="94"/>
      <c r="E87" s="94"/>
      <c r="F87" s="94"/>
      <c r="G87" s="95"/>
      <c r="H87" s="6">
        <f>I87/$I$98</f>
        <v>0</v>
      </c>
      <c r="I87" s="7">
        <v>0</v>
      </c>
    </row>
    <row r="88" spans="1:9" ht="15" customHeight="1">
      <c r="A88" s="69">
        <v>2</v>
      </c>
      <c r="B88" s="136" t="s">
        <v>120</v>
      </c>
      <c r="C88" s="137"/>
      <c r="D88" s="137"/>
      <c r="E88" s="137"/>
      <c r="F88" s="137"/>
      <c r="G88" s="138"/>
      <c r="H88" s="6">
        <f>I88/$I$98</f>
        <v>0</v>
      </c>
      <c r="I88" s="7">
        <f>IF(F96=10%,G96,0)</f>
        <v>0</v>
      </c>
    </row>
    <row r="89" spans="1:9" ht="15" customHeight="1">
      <c r="A89" s="69">
        <v>3</v>
      </c>
      <c r="B89" s="93" t="s">
        <v>60</v>
      </c>
      <c r="C89" s="94"/>
      <c r="D89" s="94"/>
      <c r="E89" s="94"/>
      <c r="F89" s="94"/>
      <c r="G89" s="95"/>
      <c r="H89" s="6">
        <f>I89/$I$98</f>
        <v>0</v>
      </c>
      <c r="I89" s="7">
        <v>0</v>
      </c>
    </row>
    <row r="90" spans="1:9" ht="15" customHeight="1">
      <c r="A90" s="69">
        <v>4</v>
      </c>
      <c r="B90" s="139" t="s">
        <v>121</v>
      </c>
      <c r="C90" s="140"/>
      <c r="D90" s="140"/>
      <c r="E90" s="140"/>
      <c r="F90" s="140"/>
      <c r="G90" s="141"/>
      <c r="H90" s="6">
        <f>I90/$I$98</f>
        <v>0</v>
      </c>
      <c r="I90" s="7">
        <v>0</v>
      </c>
    </row>
    <row r="91" spans="1:9" ht="15" customHeight="1">
      <c r="A91" s="69">
        <v>5</v>
      </c>
      <c r="B91" s="93" t="s">
        <v>61</v>
      </c>
      <c r="C91" s="94"/>
      <c r="D91" s="94"/>
      <c r="E91" s="94"/>
      <c r="F91" s="94"/>
      <c r="G91" s="95"/>
      <c r="H91" s="6">
        <f>I91/$I$98</f>
        <v>0</v>
      </c>
      <c r="I91" s="7">
        <v>0</v>
      </c>
    </row>
    <row r="92" spans="1:9" ht="15" customHeight="1">
      <c r="A92" s="69">
        <v>6</v>
      </c>
      <c r="B92" s="93" t="s">
        <v>44</v>
      </c>
      <c r="C92" s="94"/>
      <c r="D92" s="94"/>
      <c r="E92" s="94"/>
      <c r="F92" s="94"/>
      <c r="G92" s="95"/>
      <c r="H92" s="6">
        <f>I92/$I$98</f>
        <v>0</v>
      </c>
      <c r="I92" s="7">
        <v>0</v>
      </c>
    </row>
    <row r="93" spans="1:9" ht="15" customHeight="1">
      <c r="A93" s="116" t="s">
        <v>62</v>
      </c>
      <c r="B93" s="117"/>
      <c r="C93" s="117"/>
      <c r="D93" s="117"/>
      <c r="E93" s="117"/>
      <c r="F93" s="117"/>
      <c r="G93" s="118"/>
      <c r="H93" s="9">
        <f>H87+H88+H89+H90+H91+H92</f>
        <v>0</v>
      </c>
      <c r="I93" s="14">
        <f>I87+I88+I89+I90+I91+I92</f>
        <v>0</v>
      </c>
    </row>
    <row r="94" spans="1:19" ht="30" customHeight="1">
      <c r="A94"/>
      <c r="B94" s="119" t="s">
        <v>122</v>
      </c>
      <c r="C94" s="119"/>
      <c r="D94" s="119"/>
      <c r="E94" s="119"/>
      <c r="F94" s="119"/>
      <c r="G94" s="119"/>
      <c r="H94" s="119"/>
      <c r="I94" s="119"/>
      <c r="Q94"/>
      <c r="R94"/>
      <c r="S94"/>
    </row>
    <row r="95" spans="1:9" ht="5.25" customHeight="1">
      <c r="A95"/>
      <c r="B95"/>
      <c r="C95"/>
      <c r="D95"/>
      <c r="E95"/>
      <c r="F95"/>
      <c r="G95"/>
      <c r="H95"/>
      <c r="I95"/>
    </row>
    <row r="96" spans="1:19" ht="48.75" customHeight="1">
      <c r="A96" s="132" t="s">
        <v>123</v>
      </c>
      <c r="B96" s="133"/>
      <c r="C96" s="133"/>
      <c r="D96" s="133"/>
      <c r="E96" s="134"/>
      <c r="F96" s="30">
        <v>0.2</v>
      </c>
      <c r="G96" s="31">
        <f>I98*F96</f>
        <v>735.69849413296</v>
      </c>
      <c r="H96" s="32" t="s">
        <v>63</v>
      </c>
      <c r="I96" s="72">
        <f>I71</f>
        <v>18.144000000000005</v>
      </c>
      <c r="Q96"/>
      <c r="R96"/>
      <c r="S96"/>
    </row>
    <row r="97" spans="1:16" s="34" customFormat="1" ht="22.5" customHeight="1">
      <c r="A97" s="130" t="s">
        <v>64</v>
      </c>
      <c r="B97" s="130"/>
      <c r="C97" s="71" t="s">
        <v>65</v>
      </c>
      <c r="D97" s="71" t="s">
        <v>66</v>
      </c>
      <c r="E97" s="71" t="s">
        <v>67</v>
      </c>
      <c r="F97" s="71" t="s">
        <v>68</v>
      </c>
      <c r="G97" s="71" t="s">
        <v>162</v>
      </c>
      <c r="H97" s="32" t="s">
        <v>69</v>
      </c>
      <c r="I97" s="33" t="s">
        <v>70</v>
      </c>
      <c r="J97"/>
      <c r="K97"/>
      <c r="L97"/>
      <c r="M97"/>
      <c r="N97"/>
      <c r="O97"/>
      <c r="P97"/>
    </row>
    <row r="98" spans="1:9" ht="16.5" customHeight="1">
      <c r="A98" s="131">
        <f>I30</f>
        <v>1898.3799999999999</v>
      </c>
      <c r="B98" s="131"/>
      <c r="C98" s="72">
        <f>I42</f>
        <v>693.98384</v>
      </c>
      <c r="D98" s="72">
        <f>I54</f>
        <v>465.03407609999994</v>
      </c>
      <c r="E98" s="72">
        <f>I61</f>
        <v>69.92501516</v>
      </c>
      <c r="F98" s="72">
        <f>I65</f>
        <v>172.35953940480002</v>
      </c>
      <c r="G98" s="72">
        <f>I73</f>
        <v>396.95399999999995</v>
      </c>
      <c r="H98" s="72">
        <f>A98+C98+D98+E98+F98+G98</f>
        <v>3696.6364706648</v>
      </c>
      <c r="I98" s="72">
        <f>H98-I96</f>
        <v>3678.4924706648</v>
      </c>
    </row>
    <row r="99" spans="1:9" ht="4.5" customHeight="1">
      <c r="A99" s="15"/>
      <c r="B99" s="135"/>
      <c r="C99" s="135"/>
      <c r="D99" s="135"/>
      <c r="E99" s="135"/>
      <c r="F99" s="135"/>
      <c r="G99" s="135"/>
      <c r="H99" s="135"/>
      <c r="I99" s="135"/>
    </row>
    <row r="100" spans="1:9" ht="45">
      <c r="A100" s="5" t="s">
        <v>23</v>
      </c>
      <c r="B100" s="126" t="s">
        <v>71</v>
      </c>
      <c r="C100" s="127"/>
      <c r="D100" s="127"/>
      <c r="E100" s="127"/>
      <c r="F100" s="127"/>
      <c r="G100" s="128"/>
      <c r="H100" s="5" t="s">
        <v>20</v>
      </c>
      <c r="I100" s="5" t="s">
        <v>21</v>
      </c>
    </row>
    <row r="101" spans="1:9" ht="15" customHeight="1">
      <c r="A101" s="69">
        <v>1</v>
      </c>
      <c r="B101" s="93" t="s">
        <v>72</v>
      </c>
      <c r="C101" s="94"/>
      <c r="D101" s="94"/>
      <c r="E101" s="94"/>
      <c r="F101" s="94"/>
      <c r="G101" s="95"/>
      <c r="H101" s="6">
        <f>I101/$I$98</f>
        <v>0</v>
      </c>
      <c r="I101" s="7">
        <v>0</v>
      </c>
    </row>
    <row r="102" spans="1:9" ht="15" customHeight="1">
      <c r="A102" s="69">
        <v>2</v>
      </c>
      <c r="B102" s="93" t="s">
        <v>73</v>
      </c>
      <c r="C102" s="94"/>
      <c r="D102" s="94"/>
      <c r="E102" s="94"/>
      <c r="F102" s="94"/>
      <c r="G102" s="95"/>
      <c r="H102" s="6">
        <f>I102/$I$98</f>
        <v>0</v>
      </c>
      <c r="I102" s="7">
        <v>0</v>
      </c>
    </row>
    <row r="103" spans="1:9" ht="15" customHeight="1">
      <c r="A103" s="116" t="s">
        <v>74</v>
      </c>
      <c r="B103" s="117"/>
      <c r="C103" s="117"/>
      <c r="D103" s="117"/>
      <c r="E103" s="117"/>
      <c r="F103" s="117"/>
      <c r="G103" s="118"/>
      <c r="H103" s="9">
        <f>H101+H102</f>
        <v>0</v>
      </c>
      <c r="I103" s="73">
        <f>I101+I102</f>
        <v>0</v>
      </c>
    </row>
    <row r="104" ht="4.5" customHeight="1"/>
    <row r="105" spans="1:9" ht="45">
      <c r="A105" s="5" t="s">
        <v>27</v>
      </c>
      <c r="B105" s="126" t="s">
        <v>75</v>
      </c>
      <c r="C105" s="127"/>
      <c r="D105" s="127"/>
      <c r="E105" s="127"/>
      <c r="F105" s="127"/>
      <c r="G105" s="128"/>
      <c r="H105" s="5" t="s">
        <v>20</v>
      </c>
      <c r="I105" s="5" t="s">
        <v>21</v>
      </c>
    </row>
    <row r="106" spans="1:9" ht="15" customHeight="1">
      <c r="A106" s="69">
        <v>1</v>
      </c>
      <c r="B106" s="93" t="s">
        <v>75</v>
      </c>
      <c r="C106" s="94"/>
      <c r="D106" s="94"/>
      <c r="E106" s="94"/>
      <c r="F106" s="94"/>
      <c r="G106" s="95"/>
      <c r="H106" s="6">
        <f>I106/I98</f>
        <v>0</v>
      </c>
      <c r="I106" s="7">
        <v>0</v>
      </c>
    </row>
    <row r="107" spans="1:9" ht="15" customHeight="1">
      <c r="A107" s="116" t="s">
        <v>74</v>
      </c>
      <c r="B107" s="117"/>
      <c r="C107" s="117"/>
      <c r="D107" s="117"/>
      <c r="E107" s="117"/>
      <c r="F107" s="117"/>
      <c r="G107" s="118"/>
      <c r="H107" s="9">
        <f>H106</f>
        <v>0</v>
      </c>
      <c r="I107" s="73">
        <f>I106</f>
        <v>0</v>
      </c>
    </row>
    <row r="108" spans="1:9" ht="4.5" customHeight="1">
      <c r="A108" s="11"/>
      <c r="B108" s="11"/>
      <c r="C108" s="11"/>
      <c r="D108" s="11"/>
      <c r="E108" s="11"/>
      <c r="F108" s="11"/>
      <c r="G108" s="11"/>
      <c r="H108" s="12"/>
      <c r="I108" s="13"/>
    </row>
    <row r="109" spans="1:9" ht="34.5" customHeight="1">
      <c r="A109" s="129" t="s">
        <v>76</v>
      </c>
      <c r="B109" s="129"/>
      <c r="C109" s="129"/>
      <c r="D109" s="129"/>
      <c r="E109" s="129"/>
      <c r="F109" s="30">
        <v>0.18</v>
      </c>
      <c r="G109" s="31">
        <f>I111*F109</f>
        <v>662.128644719664</v>
      </c>
      <c r="H109" s="32" t="s">
        <v>63</v>
      </c>
      <c r="I109" s="72">
        <f>I71</f>
        <v>18.144000000000005</v>
      </c>
    </row>
    <row r="110" spans="1:16" s="34" customFormat="1" ht="16.5" customHeight="1">
      <c r="A110" s="130" t="s">
        <v>64</v>
      </c>
      <c r="B110" s="130"/>
      <c r="C110" s="71" t="s">
        <v>65</v>
      </c>
      <c r="D110" s="71" t="s">
        <v>66</v>
      </c>
      <c r="E110" s="71" t="s">
        <v>67</v>
      </c>
      <c r="F110" s="71" t="s">
        <v>68</v>
      </c>
      <c r="G110" s="71" t="s">
        <v>162</v>
      </c>
      <c r="H110" s="32" t="s">
        <v>69</v>
      </c>
      <c r="I110" s="33" t="s">
        <v>70</v>
      </c>
      <c r="J110"/>
      <c r="K110"/>
      <c r="L110"/>
      <c r="M110"/>
      <c r="N110"/>
      <c r="O110"/>
      <c r="P110"/>
    </row>
    <row r="111" spans="1:9" ht="16.5" customHeight="1">
      <c r="A111" s="131">
        <f>I30</f>
        <v>1898.3799999999999</v>
      </c>
      <c r="B111" s="131"/>
      <c r="C111" s="72">
        <f>I42</f>
        <v>693.98384</v>
      </c>
      <c r="D111" s="72">
        <f>I54</f>
        <v>465.03407609999994</v>
      </c>
      <c r="E111" s="72">
        <f>I61</f>
        <v>69.92501516</v>
      </c>
      <c r="F111" s="72">
        <f>I65</f>
        <v>172.35953940480002</v>
      </c>
      <c r="G111" s="72">
        <f>I73</f>
        <v>396.95399999999995</v>
      </c>
      <c r="H111" s="72">
        <f>A111+C111+D111+E111+F111+G111</f>
        <v>3696.6364706648</v>
      </c>
      <c r="I111" s="72">
        <f>H111-I109</f>
        <v>3678.4924706648</v>
      </c>
    </row>
    <row r="112" ht="4.5" customHeight="1"/>
    <row r="113" spans="1:9" ht="12">
      <c r="A113" s="101" t="s">
        <v>77</v>
      </c>
      <c r="B113" s="101"/>
      <c r="C113" s="101"/>
      <c r="D113" s="101"/>
      <c r="E113" s="101"/>
      <c r="F113" s="101"/>
      <c r="G113" s="101"/>
      <c r="H113" s="24">
        <f>H93+H103+H107</f>
        <v>0</v>
      </c>
      <c r="I113" s="25">
        <f>I93+I103+I107</f>
        <v>0</v>
      </c>
    </row>
    <row r="114" ht="4.5" customHeight="1"/>
    <row r="115" spans="1:9" ht="11.25">
      <c r="A115" s="92" t="s">
        <v>78</v>
      </c>
      <c r="B115" s="92"/>
      <c r="C115" s="92"/>
      <c r="D115" s="92"/>
      <c r="E115" s="92"/>
      <c r="F115" s="92"/>
      <c r="G115" s="92"/>
      <c r="H115" s="92"/>
      <c r="I115" s="92"/>
    </row>
    <row r="116" spans="1:9" ht="45">
      <c r="A116" s="5" t="s">
        <v>18</v>
      </c>
      <c r="B116" s="126" t="s">
        <v>79</v>
      </c>
      <c r="C116" s="127"/>
      <c r="D116" s="127"/>
      <c r="E116" s="127"/>
      <c r="F116" s="127"/>
      <c r="G116" s="128"/>
      <c r="H116" s="5" t="s">
        <v>20</v>
      </c>
      <c r="I116" s="5" t="s">
        <v>21</v>
      </c>
    </row>
    <row r="117" spans="1:9" ht="15" customHeight="1">
      <c r="A117" s="69">
        <v>1</v>
      </c>
      <c r="B117" s="93" t="s">
        <v>80</v>
      </c>
      <c r="C117" s="94"/>
      <c r="D117" s="94"/>
      <c r="E117" s="94"/>
      <c r="F117" s="94"/>
      <c r="G117" s="95"/>
      <c r="H117" s="6">
        <f>I117/$I$83</f>
        <v>0.006963042313872523</v>
      </c>
      <c r="I117" s="7">
        <f>($D$127/$E$129)*H127</f>
        <v>25.73983616424338</v>
      </c>
    </row>
    <row r="118" spans="1:9" ht="15" customHeight="1">
      <c r="A118" s="69">
        <v>2</v>
      </c>
      <c r="B118" s="93" t="s">
        <v>81</v>
      </c>
      <c r="C118" s="94"/>
      <c r="D118" s="94"/>
      <c r="E118" s="94"/>
      <c r="F118" s="94"/>
      <c r="G118" s="95"/>
      <c r="H118" s="6">
        <f>I118/$I$83</f>
        <v>0.032137118371719335</v>
      </c>
      <c r="I118" s="7">
        <f>($D$127/$E$129)*H128</f>
        <v>118.79924383496943</v>
      </c>
    </row>
    <row r="119" spans="1:9" ht="15" customHeight="1">
      <c r="A119" s="69">
        <v>3</v>
      </c>
      <c r="B119" s="93" t="s">
        <v>11</v>
      </c>
      <c r="C119" s="94"/>
      <c r="D119" s="94"/>
      <c r="E119" s="94"/>
      <c r="F119" s="94"/>
      <c r="G119" s="95"/>
      <c r="H119" s="6">
        <f>I119/$I$83</f>
        <v>0.032137118371719335</v>
      </c>
      <c r="I119" s="7">
        <f>($D$127/$E$129)*H129</f>
        <v>118.79924383496943</v>
      </c>
    </row>
    <row r="120" spans="1:9" ht="15" customHeight="1">
      <c r="A120" s="69">
        <v>4</v>
      </c>
      <c r="B120" s="93" t="s">
        <v>82</v>
      </c>
      <c r="C120" s="94"/>
      <c r="D120" s="94"/>
      <c r="E120" s="94"/>
      <c r="F120" s="94"/>
      <c r="G120" s="95"/>
      <c r="H120" s="6">
        <f>I120/$I$83</f>
        <v>0</v>
      </c>
      <c r="I120" s="7">
        <v>0</v>
      </c>
    </row>
    <row r="121" spans="1:9" ht="15" customHeight="1">
      <c r="A121" s="69">
        <v>5</v>
      </c>
      <c r="B121" s="93" t="s">
        <v>44</v>
      </c>
      <c r="C121" s="94"/>
      <c r="D121" s="94"/>
      <c r="E121" s="94"/>
      <c r="F121" s="94"/>
      <c r="G121" s="95"/>
      <c r="H121" s="6">
        <f>I121/$I$83</f>
        <v>0</v>
      </c>
      <c r="I121" s="7">
        <v>0</v>
      </c>
    </row>
    <row r="122" spans="1:9" ht="15" customHeight="1">
      <c r="A122" s="116" t="s">
        <v>83</v>
      </c>
      <c r="B122" s="117"/>
      <c r="C122" s="117"/>
      <c r="D122" s="117"/>
      <c r="E122" s="117"/>
      <c r="F122" s="117"/>
      <c r="G122" s="118"/>
      <c r="H122" s="9">
        <f>SUM(H117:H121)</f>
        <v>0.0712372790573112</v>
      </c>
      <c r="I122" s="73">
        <f>SUM(I117:I121)</f>
        <v>263.33832383418223</v>
      </c>
    </row>
    <row r="123" spans="1:9" ht="11.25" customHeight="1">
      <c r="A123" s="15" t="s">
        <v>84</v>
      </c>
      <c r="B123" s="119" t="s">
        <v>85</v>
      </c>
      <c r="C123" s="119"/>
      <c r="D123" s="119"/>
      <c r="E123" s="119"/>
      <c r="F123" s="119"/>
      <c r="G123" s="119"/>
      <c r="H123" s="119"/>
      <c r="I123" s="119"/>
    </row>
    <row r="124" spans="1:9" ht="21.75" customHeight="1">
      <c r="A124" s="15" t="s">
        <v>86</v>
      </c>
      <c r="B124" s="120" t="s">
        <v>87</v>
      </c>
      <c r="C124" s="120"/>
      <c r="D124" s="120"/>
      <c r="E124" s="120"/>
      <c r="F124" s="120"/>
      <c r="G124" s="120"/>
      <c r="H124" s="120"/>
      <c r="I124" s="120"/>
    </row>
    <row r="125" spans="1:9" ht="13.5" customHeight="1">
      <c r="A125" s="121" t="s">
        <v>88</v>
      </c>
      <c r="B125" s="121"/>
      <c r="C125" s="121"/>
      <c r="D125" s="121"/>
      <c r="E125" s="121"/>
      <c r="F125" s="121"/>
      <c r="G125" s="121"/>
      <c r="H125" s="121"/>
      <c r="I125" s="121"/>
    </row>
    <row r="126" spans="1:9" ht="13.5" customHeight="1">
      <c r="A126" s="122" t="s">
        <v>89</v>
      </c>
      <c r="B126" s="122"/>
      <c r="C126" s="69" t="s">
        <v>90</v>
      </c>
      <c r="D126" s="123" t="s">
        <v>91</v>
      </c>
      <c r="E126" s="124"/>
      <c r="F126" s="69" t="s">
        <v>92</v>
      </c>
      <c r="G126" s="69" t="s">
        <v>93</v>
      </c>
      <c r="H126" s="125" t="s">
        <v>118</v>
      </c>
      <c r="I126" s="125"/>
    </row>
    <row r="127" spans="1:9" ht="13.5" customHeight="1">
      <c r="A127" s="112">
        <f>I83</f>
        <v>3696.636470664799</v>
      </c>
      <c r="B127" s="113"/>
      <c r="C127" s="7">
        <f>I113</f>
        <v>0</v>
      </c>
      <c r="D127" s="114">
        <f>A127+C127</f>
        <v>3696.636470664799</v>
      </c>
      <c r="E127" s="115"/>
      <c r="F127" s="69" t="s">
        <v>80</v>
      </c>
      <c r="G127" s="23">
        <v>0.0165</v>
      </c>
      <c r="H127" s="105">
        <v>0.0065</v>
      </c>
      <c r="I127" s="105"/>
    </row>
    <row r="128" spans="1:9" ht="12">
      <c r="A128" s="104" t="s">
        <v>159</v>
      </c>
      <c r="B128" s="104"/>
      <c r="C128" s="69">
        <v>1</v>
      </c>
      <c r="D128" s="35">
        <v>0.1175</v>
      </c>
      <c r="E128" s="40">
        <v>0.8825000000000001</v>
      </c>
      <c r="F128" s="69" t="s">
        <v>81</v>
      </c>
      <c r="G128" s="23">
        <v>0.076</v>
      </c>
      <c r="H128" s="105">
        <v>0.03</v>
      </c>
      <c r="I128" s="105"/>
    </row>
    <row r="129" spans="1:9" ht="22.5" customHeight="1">
      <c r="A129" s="104" t="s">
        <v>157</v>
      </c>
      <c r="B129" s="104"/>
      <c r="C129" s="69">
        <v>1</v>
      </c>
      <c r="D129" s="48">
        <f>H131</f>
        <v>0.0665</v>
      </c>
      <c r="E129" s="49">
        <f>C129-D129</f>
        <v>0.9335</v>
      </c>
      <c r="F129" s="69" t="s">
        <v>11</v>
      </c>
      <c r="G129" s="23">
        <f>I10</f>
        <v>0.03</v>
      </c>
      <c r="H129" s="105">
        <f>I10</f>
        <v>0.03</v>
      </c>
      <c r="I129" s="105"/>
    </row>
    <row r="130" spans="1:9" ht="13.5" customHeight="1">
      <c r="A130" s="104" t="s">
        <v>158</v>
      </c>
      <c r="B130" s="104"/>
      <c r="C130" s="69">
        <v>1</v>
      </c>
      <c r="D130" s="64">
        <v>0.09</v>
      </c>
      <c r="E130" s="63">
        <f>C130-D130</f>
        <v>0.91</v>
      </c>
      <c r="F130" s="69" t="s">
        <v>94</v>
      </c>
      <c r="G130" s="23">
        <v>0</v>
      </c>
      <c r="H130" s="105">
        <v>0</v>
      </c>
      <c r="I130" s="105"/>
    </row>
    <row r="131" spans="1:9" ht="19.5" customHeight="1" thickBot="1">
      <c r="A131" s="41" t="s">
        <v>95</v>
      </c>
      <c r="B131" s="106" t="s">
        <v>161</v>
      </c>
      <c r="C131" s="106"/>
      <c r="D131" s="106"/>
      <c r="E131" s="106"/>
      <c r="F131" s="67" t="s">
        <v>96</v>
      </c>
      <c r="G131" s="42">
        <f>SUM(G127:G130)</f>
        <v>0.1225</v>
      </c>
      <c r="H131" s="107">
        <f>SUM(H127:I130)</f>
        <v>0.0665</v>
      </c>
      <c r="I131" s="107"/>
    </row>
    <row r="132" spans="1:9" ht="61.5" customHeight="1" thickBot="1">
      <c r="A132" s="108" t="s">
        <v>119</v>
      </c>
      <c r="B132" s="109"/>
      <c r="C132" s="109"/>
      <c r="D132" s="109"/>
      <c r="E132" s="109"/>
      <c r="F132" s="109"/>
      <c r="G132" s="109"/>
      <c r="H132" s="109"/>
      <c r="I132" s="110"/>
    </row>
    <row r="133" spans="1:9" ht="4.5" customHeight="1">
      <c r="A133" s="36"/>
      <c r="B133" s="111"/>
      <c r="C133" s="111"/>
      <c r="D133" s="111"/>
      <c r="E133" s="111"/>
      <c r="F133" s="111"/>
      <c r="G133" s="111"/>
      <c r="H133" s="111"/>
      <c r="I133" s="111"/>
    </row>
    <row r="134" spans="1:9" ht="15">
      <c r="A134" s="101" t="s">
        <v>97</v>
      </c>
      <c r="B134" s="101"/>
      <c r="C134" s="101"/>
      <c r="D134" s="101"/>
      <c r="E134" s="101"/>
      <c r="F134" s="101"/>
      <c r="G134" s="101"/>
      <c r="H134" s="24">
        <f>H122</f>
        <v>0.0712372790573112</v>
      </c>
      <c r="I134" s="25">
        <f>I122</f>
        <v>263.33832383418223</v>
      </c>
    </row>
    <row r="135" ht="4.5" customHeight="1"/>
    <row r="136" spans="1:9" ht="15">
      <c r="A136" s="102" t="s">
        <v>98</v>
      </c>
      <c r="B136" s="102"/>
      <c r="C136" s="102"/>
      <c r="D136" s="102"/>
      <c r="E136" s="102"/>
      <c r="F136" s="102"/>
      <c r="G136" s="102"/>
      <c r="H136" s="102"/>
      <c r="I136" s="102"/>
    </row>
    <row r="137" spans="1:9" ht="15">
      <c r="A137" s="92" t="s">
        <v>17</v>
      </c>
      <c r="B137" s="92"/>
      <c r="C137" s="92"/>
      <c r="D137" s="92"/>
      <c r="E137" s="92"/>
      <c r="F137" s="92"/>
      <c r="G137" s="92"/>
      <c r="H137" s="92"/>
      <c r="I137" s="92"/>
    </row>
    <row r="138" spans="1:9" ht="15" customHeight="1">
      <c r="A138" s="69">
        <v>1</v>
      </c>
      <c r="B138" s="93" t="s">
        <v>124</v>
      </c>
      <c r="C138" s="94"/>
      <c r="D138" s="94"/>
      <c r="E138" s="94"/>
      <c r="F138" s="94"/>
      <c r="G138" s="95"/>
      <c r="H138" s="6">
        <f>I138/$G$155</f>
        <v>0.4793919402308176</v>
      </c>
      <c r="I138" s="37">
        <f>I30</f>
        <v>1898.3799999999999</v>
      </c>
    </row>
    <row r="139" spans="1:9" ht="15" customHeight="1">
      <c r="A139" s="69">
        <v>2</v>
      </c>
      <c r="B139" s="93" t="s">
        <v>99</v>
      </c>
      <c r="C139" s="94"/>
      <c r="D139" s="94"/>
      <c r="E139" s="94"/>
      <c r="F139" s="94"/>
      <c r="G139" s="95"/>
      <c r="H139" s="6">
        <f>I139/$G$155</f>
        <v>0.35386651263826885</v>
      </c>
      <c r="I139" s="37">
        <f>I42+I54+I61+I65</f>
        <v>1401.3024706647998</v>
      </c>
    </row>
    <row r="140" spans="1:9" ht="15" customHeight="1">
      <c r="A140" s="69">
        <v>3</v>
      </c>
      <c r="B140" s="103" t="s">
        <v>125</v>
      </c>
      <c r="C140" s="103"/>
      <c r="D140" s="103"/>
      <c r="E140" s="103"/>
      <c r="F140" s="103"/>
      <c r="G140" s="103"/>
      <c r="H140" s="6">
        <f>I140/$G$155</f>
        <v>0.10024154713091371</v>
      </c>
      <c r="I140" s="37">
        <f>I73</f>
        <v>396.95399999999995</v>
      </c>
    </row>
    <row r="141" spans="1:16" s="10" customFormat="1" ht="15" customHeight="1">
      <c r="A141" s="96" t="s">
        <v>100</v>
      </c>
      <c r="B141" s="97"/>
      <c r="C141" s="97"/>
      <c r="D141" s="97"/>
      <c r="E141" s="97"/>
      <c r="F141" s="97"/>
      <c r="G141" s="98"/>
      <c r="H141" s="24">
        <f>SUM(H138:H140)</f>
        <v>0.9335000000000002</v>
      </c>
      <c r="I141" s="25">
        <f>SUM(I138:I140)</f>
        <v>3696.636470664799</v>
      </c>
      <c r="J141"/>
      <c r="K141"/>
      <c r="L141"/>
      <c r="M141"/>
      <c r="N141"/>
      <c r="O141"/>
      <c r="P141"/>
    </row>
    <row r="142" ht="4.5" customHeight="1"/>
    <row r="143" spans="1:9" ht="15">
      <c r="A143" s="92" t="s">
        <v>57</v>
      </c>
      <c r="B143" s="92"/>
      <c r="C143" s="92"/>
      <c r="D143" s="92"/>
      <c r="E143" s="92"/>
      <c r="F143" s="92"/>
      <c r="G143" s="92"/>
      <c r="H143" s="92"/>
      <c r="I143" s="92"/>
    </row>
    <row r="144" spans="1:9" ht="15" customHeight="1">
      <c r="A144" s="69">
        <v>1</v>
      </c>
      <c r="B144" s="93" t="s">
        <v>126</v>
      </c>
      <c r="C144" s="94"/>
      <c r="D144" s="94"/>
      <c r="E144" s="94"/>
      <c r="F144" s="94"/>
      <c r="G144" s="95"/>
      <c r="H144" s="6">
        <f>I144/$G$155</f>
        <v>0</v>
      </c>
      <c r="I144" s="7">
        <f>I93</f>
        <v>0</v>
      </c>
    </row>
    <row r="145" spans="1:9" ht="15" customHeight="1">
      <c r="A145" s="69">
        <v>2</v>
      </c>
      <c r="B145" s="93" t="s">
        <v>127</v>
      </c>
      <c r="C145" s="94"/>
      <c r="D145" s="94"/>
      <c r="E145" s="94"/>
      <c r="F145" s="94"/>
      <c r="G145" s="95"/>
      <c r="H145" s="6">
        <f>I145/$G$155</f>
        <v>0</v>
      </c>
      <c r="I145" s="7">
        <f>I103</f>
        <v>0</v>
      </c>
    </row>
    <row r="146" spans="1:9" ht="15" customHeight="1">
      <c r="A146" s="69">
        <v>3</v>
      </c>
      <c r="B146" s="93" t="s">
        <v>128</v>
      </c>
      <c r="C146" s="94"/>
      <c r="D146" s="94"/>
      <c r="E146" s="94"/>
      <c r="F146" s="94"/>
      <c r="G146" s="95"/>
      <c r="H146" s="6">
        <f>I146/$G$155</f>
        <v>0</v>
      </c>
      <c r="I146" s="7">
        <f>I107</f>
        <v>0</v>
      </c>
    </row>
    <row r="147" spans="1:9" ht="15" customHeight="1">
      <c r="A147" s="96" t="s">
        <v>101</v>
      </c>
      <c r="B147" s="97"/>
      <c r="C147" s="97"/>
      <c r="D147" s="97"/>
      <c r="E147" s="97"/>
      <c r="F147" s="97"/>
      <c r="G147" s="98"/>
      <c r="H147" s="24">
        <f>SUM(H144:H146)</f>
        <v>0</v>
      </c>
      <c r="I147" s="25">
        <f>SUM(I144:I146)</f>
        <v>0</v>
      </c>
    </row>
    <row r="148" ht="4.5" customHeight="1"/>
    <row r="149" spans="1:9" ht="15">
      <c r="A149" s="92" t="s">
        <v>78</v>
      </c>
      <c r="B149" s="92"/>
      <c r="C149" s="92"/>
      <c r="D149" s="92"/>
      <c r="E149" s="92"/>
      <c r="F149" s="92"/>
      <c r="G149" s="92"/>
      <c r="H149" s="92"/>
      <c r="I149" s="92"/>
    </row>
    <row r="150" spans="1:9" ht="15" customHeight="1">
      <c r="A150" s="69">
        <v>1</v>
      </c>
      <c r="B150" s="93" t="s">
        <v>129</v>
      </c>
      <c r="C150" s="94"/>
      <c r="D150" s="94"/>
      <c r="E150" s="94"/>
      <c r="F150" s="94"/>
      <c r="G150" s="95"/>
      <c r="H150" s="6">
        <f>I150/$G$155</f>
        <v>0.06649999999999999</v>
      </c>
      <c r="I150" s="7">
        <f>I122</f>
        <v>263.33832383418223</v>
      </c>
    </row>
    <row r="151" spans="1:9" ht="15" customHeight="1">
      <c r="A151" s="96" t="s">
        <v>102</v>
      </c>
      <c r="B151" s="97"/>
      <c r="C151" s="97"/>
      <c r="D151" s="97"/>
      <c r="E151" s="97"/>
      <c r="F151" s="97"/>
      <c r="G151" s="98"/>
      <c r="H151" s="24">
        <f>H150</f>
        <v>0.06649999999999999</v>
      </c>
      <c r="I151" s="25">
        <f>I122</f>
        <v>263.33832383418223</v>
      </c>
    </row>
    <row r="152" ht="4.5" customHeight="1"/>
    <row r="153" spans="1:9" ht="15">
      <c r="A153" s="99" t="s">
        <v>98</v>
      </c>
      <c r="B153" s="99"/>
      <c r="C153" s="99"/>
      <c r="D153" s="99"/>
      <c r="E153" s="99"/>
      <c r="F153" s="99"/>
      <c r="G153" s="99"/>
      <c r="H153" s="99"/>
      <c r="I153" s="99"/>
    </row>
    <row r="154" spans="1:9" ht="45">
      <c r="A154" s="100" t="s">
        <v>103</v>
      </c>
      <c r="B154" s="100"/>
      <c r="C154" s="100"/>
      <c r="D154" s="100"/>
      <c r="E154" s="100"/>
      <c r="F154" s="100"/>
      <c r="G154" s="74" t="s">
        <v>104</v>
      </c>
      <c r="H154" s="74" t="s">
        <v>105</v>
      </c>
      <c r="I154" s="74" t="s">
        <v>106</v>
      </c>
    </row>
    <row r="155" spans="1:9" ht="15">
      <c r="A155" s="86" t="str">
        <f>G5</f>
        <v>VIGILANTE 12h - CBO 5173</v>
      </c>
      <c r="B155" s="87"/>
      <c r="C155" s="87"/>
      <c r="D155" s="87"/>
      <c r="E155" s="87"/>
      <c r="F155" s="88"/>
      <c r="G155" s="38">
        <f>I141+I147+I151</f>
        <v>3959.9747944989813</v>
      </c>
      <c r="H155" s="74">
        <v>2</v>
      </c>
      <c r="I155" s="38">
        <f>G155*H155</f>
        <v>7919.949588997963</v>
      </c>
    </row>
    <row r="156" spans="1:9" ht="15">
      <c r="A156" s="86"/>
      <c r="B156" s="87"/>
      <c r="C156" s="87"/>
      <c r="D156" s="87"/>
      <c r="E156" s="87"/>
      <c r="F156" s="88"/>
      <c r="G156" s="74"/>
      <c r="H156" s="74"/>
      <c r="I156" s="38"/>
    </row>
    <row r="157" spans="1:16" s="10" customFormat="1" ht="15">
      <c r="A157" s="89" t="s">
        <v>152</v>
      </c>
      <c r="B157" s="90"/>
      <c r="C157" s="90"/>
      <c r="D157" s="90"/>
      <c r="E157" s="90"/>
      <c r="F157" s="90"/>
      <c r="G157" s="90"/>
      <c r="H157" s="91"/>
      <c r="I157" s="39">
        <f>I155+I156</f>
        <v>7919.949588997963</v>
      </c>
      <c r="J157"/>
      <c r="K157"/>
      <c r="L157"/>
      <c r="M157"/>
      <c r="N157"/>
      <c r="O157"/>
      <c r="P157"/>
    </row>
  </sheetData>
  <sheetProtection/>
  <mergeCells count="143">
    <mergeCell ref="A1:I1"/>
    <mergeCell ref="A2:B2"/>
    <mergeCell ref="C2:D2"/>
    <mergeCell ref="E2:I2"/>
    <mergeCell ref="A3:B3"/>
    <mergeCell ref="A5:F7"/>
    <mergeCell ref="G5:H5"/>
    <mergeCell ref="G6:G7"/>
    <mergeCell ref="A16:F19"/>
    <mergeCell ref="G16:G19"/>
    <mergeCell ref="A20:F20"/>
    <mergeCell ref="A21:F21"/>
    <mergeCell ref="A23:I23"/>
    <mergeCell ref="B24:G24"/>
    <mergeCell ref="A8:F8"/>
    <mergeCell ref="A9:F9"/>
    <mergeCell ref="A10:F10"/>
    <mergeCell ref="A11:F11"/>
    <mergeCell ref="A12:F15"/>
    <mergeCell ref="G12:G15"/>
    <mergeCell ref="A30:G30"/>
    <mergeCell ref="B33:G33"/>
    <mergeCell ref="B34:G34"/>
    <mergeCell ref="B35:G35"/>
    <mergeCell ref="B36:G36"/>
    <mergeCell ref="B37:G37"/>
    <mergeCell ref="B25:G25"/>
    <mergeCell ref="B26:G26"/>
    <mergeCell ref="B27:G27"/>
    <mergeCell ref="B28:G28"/>
    <mergeCell ref="B29:G29"/>
    <mergeCell ref="A44:I44"/>
    <mergeCell ref="B45:G45"/>
    <mergeCell ref="B46:G46"/>
    <mergeCell ref="B47:G47"/>
    <mergeCell ref="B48:G48"/>
    <mergeCell ref="B49:G49"/>
    <mergeCell ref="B38:G38"/>
    <mergeCell ref="B39:G39"/>
    <mergeCell ref="B40:G40"/>
    <mergeCell ref="B41:G41"/>
    <mergeCell ref="A42:G42"/>
    <mergeCell ref="A43:I43"/>
    <mergeCell ref="B56:I56"/>
    <mergeCell ref="B57:G57"/>
    <mergeCell ref="B58:G58"/>
    <mergeCell ref="B59:G59"/>
    <mergeCell ref="B60:G60"/>
    <mergeCell ref="A61:G61"/>
    <mergeCell ref="B50:G50"/>
    <mergeCell ref="B51:G51"/>
    <mergeCell ref="B52:G52"/>
    <mergeCell ref="B53:G53"/>
    <mergeCell ref="A54:G54"/>
    <mergeCell ref="B55:I55"/>
    <mergeCell ref="B71:G71"/>
    <mergeCell ref="B72:G72"/>
    <mergeCell ref="A73:G73"/>
    <mergeCell ref="A75:I75"/>
    <mergeCell ref="A76:B76"/>
    <mergeCell ref="A77:B77"/>
    <mergeCell ref="B63:G63"/>
    <mergeCell ref="B64:G64"/>
    <mergeCell ref="A65:G65"/>
    <mergeCell ref="A67:G67"/>
    <mergeCell ref="B69:G69"/>
    <mergeCell ref="B70:G70"/>
    <mergeCell ref="B87:G87"/>
    <mergeCell ref="B88:G88"/>
    <mergeCell ref="B89:G89"/>
    <mergeCell ref="B90:G90"/>
    <mergeCell ref="B91:G91"/>
    <mergeCell ref="B92:G92"/>
    <mergeCell ref="A79:I79"/>
    <mergeCell ref="A80:B80"/>
    <mergeCell ref="A81:B81"/>
    <mergeCell ref="A83:G83"/>
    <mergeCell ref="A85:I85"/>
    <mergeCell ref="B86:G86"/>
    <mergeCell ref="B100:G100"/>
    <mergeCell ref="B101:G101"/>
    <mergeCell ref="B102:G102"/>
    <mergeCell ref="A103:G103"/>
    <mergeCell ref="B105:G105"/>
    <mergeCell ref="B106:G106"/>
    <mergeCell ref="A93:G93"/>
    <mergeCell ref="B94:I94"/>
    <mergeCell ref="A96:E96"/>
    <mergeCell ref="A97:B97"/>
    <mergeCell ref="A98:B98"/>
    <mergeCell ref="B99:I99"/>
    <mergeCell ref="B116:G116"/>
    <mergeCell ref="B117:G117"/>
    <mergeCell ref="B118:G118"/>
    <mergeCell ref="B119:G119"/>
    <mergeCell ref="B120:G120"/>
    <mergeCell ref="B121:G121"/>
    <mergeCell ref="A107:G107"/>
    <mergeCell ref="A109:E109"/>
    <mergeCell ref="A110:B110"/>
    <mergeCell ref="A111:B111"/>
    <mergeCell ref="A113:G113"/>
    <mergeCell ref="A115:I115"/>
    <mergeCell ref="A127:B127"/>
    <mergeCell ref="D127:E127"/>
    <mergeCell ref="H127:I127"/>
    <mergeCell ref="A128:B128"/>
    <mergeCell ref="H128:I128"/>
    <mergeCell ref="A129:B129"/>
    <mergeCell ref="H129:I129"/>
    <mergeCell ref="A122:G122"/>
    <mergeCell ref="B123:I123"/>
    <mergeCell ref="B124:I124"/>
    <mergeCell ref="A125:I125"/>
    <mergeCell ref="A126:B126"/>
    <mergeCell ref="D126:E126"/>
    <mergeCell ref="H126:I126"/>
    <mergeCell ref="A134:G134"/>
    <mergeCell ref="A136:I136"/>
    <mergeCell ref="A137:I137"/>
    <mergeCell ref="B138:G138"/>
    <mergeCell ref="B139:G139"/>
    <mergeCell ref="B140:G140"/>
    <mergeCell ref="A130:B130"/>
    <mergeCell ref="H130:I130"/>
    <mergeCell ref="B131:E131"/>
    <mergeCell ref="H131:I131"/>
    <mergeCell ref="A132:I132"/>
    <mergeCell ref="B133:I133"/>
    <mergeCell ref="A156:F156"/>
    <mergeCell ref="A157:H157"/>
    <mergeCell ref="A149:I149"/>
    <mergeCell ref="B150:G150"/>
    <mergeCell ref="A151:G151"/>
    <mergeCell ref="A153:I153"/>
    <mergeCell ref="A154:F154"/>
    <mergeCell ref="A155:F155"/>
    <mergeCell ref="A141:G141"/>
    <mergeCell ref="A143:I143"/>
    <mergeCell ref="B144:G144"/>
    <mergeCell ref="B145:G145"/>
    <mergeCell ref="B146:G146"/>
    <mergeCell ref="A147:G147"/>
  </mergeCells>
  <printOptions horizontalCentered="1"/>
  <pageMargins left="0.5118110236220472" right="0.5118110236220472" top="0.7874015748031497" bottom="0.7874015748031497" header="0.31496062992125984" footer="0.31496062992125984"/>
  <pageSetup fitToHeight="3" horizontalDpi="600" verticalDpi="600" orientation="portrait" paperSize="9" scale="77" r:id="rId3"/>
  <rowBreaks count="2" manualBreakCount="2">
    <brk id="56" max="8" man="1"/>
    <brk id="114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4"/>
  <sheetViews>
    <sheetView view="pageBreakPreview" zoomScale="120" zoomScaleSheetLayoutView="120" zoomScalePageLayoutView="0" workbookViewId="0" topLeftCell="A139">
      <selection activeCell="I114" sqref="I114"/>
    </sheetView>
  </sheetViews>
  <sheetFormatPr defaultColWidth="9.140625" defaultRowHeight="15"/>
  <cols>
    <col min="1" max="1" width="2.8515625" style="2" customWidth="1"/>
    <col min="2" max="3" width="11.28125" style="2" customWidth="1"/>
    <col min="4" max="4" width="12.28125" style="2" customWidth="1"/>
    <col min="5" max="5" width="11.28125" style="2" customWidth="1"/>
    <col min="6" max="6" width="12.421875" style="2" customWidth="1"/>
    <col min="7" max="7" width="11.57421875" style="2" customWidth="1"/>
    <col min="8" max="8" width="9.00390625" style="2" customWidth="1"/>
    <col min="9" max="9" width="11.7109375" style="2" customWidth="1"/>
    <col min="10" max="10" width="11.00390625" style="0" customWidth="1"/>
    <col min="11" max="11" width="10.00390625" style="0" bestFit="1" customWidth="1"/>
    <col min="17" max="16384" width="9.140625" style="2" customWidth="1"/>
  </cols>
  <sheetData>
    <row r="1" spans="1:9" ht="26.2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9" ht="40.5" customHeight="1">
      <c r="A2" s="160" t="s">
        <v>1</v>
      </c>
      <c r="B2" s="160"/>
      <c r="C2" s="161" t="s">
        <v>180</v>
      </c>
      <c r="D2" s="161"/>
      <c r="E2" s="162" t="s">
        <v>108</v>
      </c>
      <c r="F2" s="162"/>
      <c r="G2" s="162"/>
      <c r="H2" s="162"/>
      <c r="I2" s="162"/>
    </row>
    <row r="3" spans="1:9" ht="11.25">
      <c r="A3" s="160" t="s">
        <v>2</v>
      </c>
      <c r="B3" s="160"/>
      <c r="C3" s="4"/>
      <c r="D3" s="3"/>
      <c r="E3" s="67" t="s">
        <v>3</v>
      </c>
      <c r="F3" s="67"/>
      <c r="G3" s="3"/>
      <c r="H3" s="3"/>
      <c r="I3" s="3"/>
    </row>
    <row r="4" ht="4.5" customHeight="1"/>
    <row r="5" spans="1:9" ht="17.25" customHeight="1">
      <c r="A5" s="163" t="s">
        <v>182</v>
      </c>
      <c r="B5" s="164"/>
      <c r="C5" s="164"/>
      <c r="D5" s="164"/>
      <c r="E5" s="164"/>
      <c r="F5" s="165"/>
      <c r="G5" s="159" t="s">
        <v>149</v>
      </c>
      <c r="H5" s="159"/>
      <c r="I5" s="51">
        <v>220</v>
      </c>
    </row>
    <row r="6" spans="1:9" ht="27" customHeight="1">
      <c r="A6" s="166"/>
      <c r="B6" s="167"/>
      <c r="C6" s="167"/>
      <c r="D6" s="167"/>
      <c r="E6" s="167"/>
      <c r="F6" s="168"/>
      <c r="G6" s="172" t="s">
        <v>4</v>
      </c>
      <c r="H6" s="68" t="s">
        <v>5</v>
      </c>
      <c r="I6" s="52">
        <v>0.3</v>
      </c>
    </row>
    <row r="7" spans="1:16" s="1" customFormat="1" ht="22.5" customHeight="1">
      <c r="A7" s="169"/>
      <c r="B7" s="170"/>
      <c r="C7" s="170"/>
      <c r="D7" s="170"/>
      <c r="E7" s="170"/>
      <c r="F7" s="171"/>
      <c r="G7" s="172"/>
      <c r="H7" s="68" t="s">
        <v>6</v>
      </c>
      <c r="I7" s="68">
        <v>1</v>
      </c>
      <c r="J7"/>
      <c r="K7"/>
      <c r="L7"/>
      <c r="M7"/>
      <c r="N7"/>
      <c r="O7"/>
      <c r="P7"/>
    </row>
    <row r="8" spans="1:16" s="1" customFormat="1" ht="11.25" customHeight="1">
      <c r="A8" s="124" t="s">
        <v>7</v>
      </c>
      <c r="B8" s="148"/>
      <c r="C8" s="148"/>
      <c r="D8" s="148"/>
      <c r="E8" s="148"/>
      <c r="F8" s="148"/>
      <c r="G8" s="68"/>
      <c r="H8" s="68" t="s">
        <v>8</v>
      </c>
      <c r="I8" s="68">
        <v>15</v>
      </c>
      <c r="J8"/>
      <c r="K8"/>
      <c r="L8"/>
      <c r="M8"/>
      <c r="N8"/>
      <c r="O8"/>
      <c r="P8"/>
    </row>
    <row r="9" spans="1:16" s="1" customFormat="1" ht="15" customHeight="1">
      <c r="A9" s="124" t="s">
        <v>9</v>
      </c>
      <c r="B9" s="148"/>
      <c r="C9" s="148"/>
      <c r="D9" s="148"/>
      <c r="E9" s="148"/>
      <c r="F9" s="148"/>
      <c r="G9" s="68" t="s">
        <v>10</v>
      </c>
      <c r="H9" s="68">
        <v>220</v>
      </c>
      <c r="I9" s="53">
        <v>1447.6</v>
      </c>
      <c r="J9"/>
      <c r="K9"/>
      <c r="L9"/>
      <c r="M9"/>
      <c r="N9"/>
      <c r="O9"/>
      <c r="P9"/>
    </row>
    <row r="10" spans="1:16" s="1" customFormat="1" ht="22.5" customHeight="1">
      <c r="A10" s="124" t="s">
        <v>11</v>
      </c>
      <c r="B10" s="148"/>
      <c r="C10" s="148"/>
      <c r="D10" s="148"/>
      <c r="E10" s="148"/>
      <c r="F10" s="148"/>
      <c r="G10" s="68" t="s">
        <v>183</v>
      </c>
      <c r="H10" s="68" t="s">
        <v>5</v>
      </c>
      <c r="I10" s="78">
        <v>0.03</v>
      </c>
      <c r="J10"/>
      <c r="K10"/>
      <c r="L10"/>
      <c r="M10"/>
      <c r="N10"/>
      <c r="O10"/>
      <c r="P10"/>
    </row>
    <row r="11" spans="1:16" s="1" customFormat="1" ht="15" customHeight="1">
      <c r="A11" s="124" t="s">
        <v>165</v>
      </c>
      <c r="B11" s="148"/>
      <c r="C11" s="148"/>
      <c r="D11" s="148"/>
      <c r="E11" s="148"/>
      <c r="F11" s="148"/>
      <c r="G11" s="68" t="s">
        <v>15</v>
      </c>
      <c r="H11" s="68" t="s">
        <v>107</v>
      </c>
      <c r="I11" s="54">
        <v>1.1</v>
      </c>
      <c r="J11"/>
      <c r="K11"/>
      <c r="L11"/>
      <c r="M11"/>
      <c r="N11"/>
      <c r="O11"/>
      <c r="P11"/>
    </row>
    <row r="12" spans="1:16" s="1" customFormat="1" ht="15" customHeight="1">
      <c r="A12" s="150" t="s">
        <v>166</v>
      </c>
      <c r="B12" s="151"/>
      <c r="C12" s="151"/>
      <c r="D12" s="151"/>
      <c r="E12" s="151"/>
      <c r="F12" s="151"/>
      <c r="G12" s="159" t="str">
        <f>G10</f>
        <v>NOVO HAMBURGO</v>
      </c>
      <c r="H12" s="68" t="s">
        <v>132</v>
      </c>
      <c r="I12" s="54">
        <v>3.5</v>
      </c>
      <c r="J12"/>
      <c r="K12"/>
      <c r="L12"/>
      <c r="M12"/>
      <c r="N12"/>
      <c r="O12"/>
      <c r="P12"/>
    </row>
    <row r="13" spans="1:16" s="1" customFormat="1" ht="15">
      <c r="A13" s="153"/>
      <c r="B13" s="154"/>
      <c r="C13" s="154"/>
      <c r="D13" s="154"/>
      <c r="E13" s="154"/>
      <c r="F13" s="154"/>
      <c r="G13" s="159"/>
      <c r="H13" s="68" t="s">
        <v>12</v>
      </c>
      <c r="I13" s="68">
        <f>I8</f>
        <v>15</v>
      </c>
      <c r="J13"/>
      <c r="K13"/>
      <c r="L13"/>
      <c r="M13"/>
      <c r="N13"/>
      <c r="O13"/>
      <c r="P13"/>
    </row>
    <row r="14" spans="1:16" s="1" customFormat="1" ht="15">
      <c r="A14" s="153"/>
      <c r="B14" s="154"/>
      <c r="C14" s="154"/>
      <c r="D14" s="154"/>
      <c r="E14" s="154"/>
      <c r="F14" s="154"/>
      <c r="G14" s="159"/>
      <c r="H14" s="68" t="s">
        <v>13</v>
      </c>
      <c r="I14" s="68">
        <v>2</v>
      </c>
      <c r="J14"/>
      <c r="K14"/>
      <c r="L14"/>
      <c r="M14"/>
      <c r="N14"/>
      <c r="O14"/>
      <c r="P14"/>
    </row>
    <row r="15" spans="1:16" s="1" customFormat="1" ht="15">
      <c r="A15" s="156"/>
      <c r="B15" s="157"/>
      <c r="C15" s="157"/>
      <c r="D15" s="157"/>
      <c r="E15" s="157"/>
      <c r="F15" s="157"/>
      <c r="G15" s="159"/>
      <c r="H15" s="68" t="s">
        <v>14</v>
      </c>
      <c r="I15" s="55">
        <v>0.06</v>
      </c>
      <c r="J15"/>
      <c r="K15"/>
      <c r="L15"/>
      <c r="M15"/>
      <c r="N15"/>
      <c r="O15"/>
      <c r="P15"/>
    </row>
    <row r="16" spans="1:16" s="1" customFormat="1" ht="11.25" customHeight="1">
      <c r="A16" s="123" t="s">
        <v>168</v>
      </c>
      <c r="B16" s="123"/>
      <c r="C16" s="123"/>
      <c r="D16" s="123"/>
      <c r="E16" s="123"/>
      <c r="F16" s="124"/>
      <c r="G16" s="159" t="s">
        <v>15</v>
      </c>
      <c r="H16" s="68" t="s">
        <v>133</v>
      </c>
      <c r="I16" s="54">
        <v>19.23</v>
      </c>
      <c r="J16"/>
      <c r="K16"/>
      <c r="L16"/>
      <c r="M16"/>
      <c r="N16"/>
      <c r="O16"/>
      <c r="P16"/>
    </row>
    <row r="17" spans="1:9" ht="11.25" customHeight="1">
      <c r="A17" s="123"/>
      <c r="B17" s="123"/>
      <c r="C17" s="123"/>
      <c r="D17" s="123"/>
      <c r="E17" s="123"/>
      <c r="F17" s="124"/>
      <c r="G17" s="159"/>
      <c r="H17" s="68" t="s">
        <v>12</v>
      </c>
      <c r="I17" s="56">
        <f>I8</f>
        <v>15</v>
      </c>
    </row>
    <row r="18" spans="1:9" ht="11.25" customHeight="1">
      <c r="A18" s="123"/>
      <c r="B18" s="123"/>
      <c r="C18" s="123"/>
      <c r="D18" s="123"/>
      <c r="E18" s="123"/>
      <c r="F18" s="124"/>
      <c r="G18" s="159"/>
      <c r="H18" s="68" t="s">
        <v>16</v>
      </c>
      <c r="I18" s="56">
        <v>1</v>
      </c>
    </row>
    <row r="19" spans="1:9" ht="11.25">
      <c r="A19" s="123"/>
      <c r="B19" s="123"/>
      <c r="C19" s="123"/>
      <c r="D19" s="123"/>
      <c r="E19" s="123"/>
      <c r="F19" s="124"/>
      <c r="G19" s="159"/>
      <c r="H19" s="68" t="s">
        <v>14</v>
      </c>
      <c r="I19" s="55">
        <v>0.2</v>
      </c>
    </row>
    <row r="20" spans="1:16" ht="24" customHeight="1">
      <c r="A20" s="124" t="s">
        <v>169</v>
      </c>
      <c r="B20" s="148"/>
      <c r="C20" s="148"/>
      <c r="D20" s="148"/>
      <c r="E20" s="148"/>
      <c r="F20" s="148"/>
      <c r="G20" s="68" t="s">
        <v>15</v>
      </c>
      <c r="H20" s="50" t="s">
        <v>109</v>
      </c>
      <c r="I20" s="56">
        <v>15</v>
      </c>
      <c r="K20" s="59"/>
      <c r="L20" s="59"/>
      <c r="M20" s="59"/>
      <c r="N20" s="59"/>
      <c r="O20" s="59"/>
      <c r="P20" s="59"/>
    </row>
    <row r="21" spans="1:16" ht="19.5" customHeight="1">
      <c r="A21" s="150" t="s">
        <v>170</v>
      </c>
      <c r="B21" s="151"/>
      <c r="C21" s="151"/>
      <c r="D21" s="151"/>
      <c r="E21" s="151"/>
      <c r="F21" s="152"/>
      <c r="G21" s="159" t="s">
        <v>15</v>
      </c>
      <c r="H21" s="50" t="s">
        <v>150</v>
      </c>
      <c r="I21" s="57">
        <f>((60/52.5)*7)*I8</f>
        <v>120</v>
      </c>
      <c r="J21" s="75"/>
      <c r="K21" s="173"/>
      <c r="L21" s="173"/>
      <c r="M21" s="173"/>
      <c r="N21" s="173"/>
      <c r="O21" s="173"/>
      <c r="P21" s="173"/>
    </row>
    <row r="22" spans="1:16" ht="23.25" customHeight="1">
      <c r="A22" s="156"/>
      <c r="B22" s="157"/>
      <c r="C22" s="157"/>
      <c r="D22" s="157"/>
      <c r="E22" s="157"/>
      <c r="F22" s="158"/>
      <c r="G22" s="159"/>
      <c r="H22" s="50" t="s">
        <v>151</v>
      </c>
      <c r="I22" s="58">
        <f>(I9/H9)*0.2*(1+I6)</f>
        <v>1.7107999999999999</v>
      </c>
      <c r="J22" s="44"/>
      <c r="K22" s="173"/>
      <c r="L22" s="173"/>
      <c r="M22" s="173"/>
      <c r="N22" s="173"/>
      <c r="O22" s="173"/>
      <c r="P22" s="173"/>
    </row>
    <row r="23" spans="1:10" ht="36.75" customHeight="1">
      <c r="A23" s="123" t="s">
        <v>186</v>
      </c>
      <c r="B23" s="123"/>
      <c r="C23" s="123"/>
      <c r="D23" s="123"/>
      <c r="E23" s="123"/>
      <c r="F23" s="124"/>
      <c r="G23" s="159" t="s">
        <v>15</v>
      </c>
      <c r="H23" s="50" t="s">
        <v>150</v>
      </c>
      <c r="I23" s="85">
        <f>((5+7+1)*15)-190.67</f>
        <v>4.3300000000000125</v>
      </c>
      <c r="J23" s="44"/>
    </row>
    <row r="24" spans="1:16" ht="39.75" customHeight="1">
      <c r="A24" s="123"/>
      <c r="B24" s="123"/>
      <c r="C24" s="123"/>
      <c r="D24" s="123"/>
      <c r="E24" s="123"/>
      <c r="F24" s="124"/>
      <c r="G24" s="159"/>
      <c r="H24" s="50" t="s">
        <v>151</v>
      </c>
      <c r="I24" s="58">
        <f>(I9/H9)*1.5*(1+I6)</f>
        <v>12.831</v>
      </c>
      <c r="J24" s="44"/>
      <c r="K24" s="44"/>
      <c r="L24" s="46"/>
      <c r="M24" s="2"/>
      <c r="N24" s="2"/>
      <c r="O24" s="2"/>
      <c r="P24" s="2"/>
    </row>
    <row r="25" spans="1:9" ht="11.25">
      <c r="A25" s="123" t="s">
        <v>131</v>
      </c>
      <c r="B25" s="123"/>
      <c r="C25" s="123"/>
      <c r="D25" s="123"/>
      <c r="E25" s="123"/>
      <c r="F25" s="124"/>
      <c r="G25" s="68"/>
      <c r="H25" s="68" t="s">
        <v>5</v>
      </c>
      <c r="I25" s="55">
        <v>0.2</v>
      </c>
    </row>
    <row r="26" ht="4.5" customHeight="1"/>
    <row r="27" spans="1:9" ht="17.25" customHeight="1">
      <c r="A27" s="92" t="s">
        <v>17</v>
      </c>
      <c r="B27" s="92"/>
      <c r="C27" s="92"/>
      <c r="D27" s="92"/>
      <c r="E27" s="92"/>
      <c r="F27" s="92"/>
      <c r="G27" s="92"/>
      <c r="H27" s="92"/>
      <c r="I27" s="92"/>
    </row>
    <row r="28" spans="1:9" ht="45">
      <c r="A28" s="5" t="s">
        <v>18</v>
      </c>
      <c r="B28" s="126" t="s">
        <v>19</v>
      </c>
      <c r="C28" s="127"/>
      <c r="D28" s="127"/>
      <c r="E28" s="127"/>
      <c r="F28" s="127"/>
      <c r="G28" s="128"/>
      <c r="H28" s="5" t="s">
        <v>20</v>
      </c>
      <c r="I28" s="5" t="s">
        <v>21</v>
      </c>
    </row>
    <row r="29" spans="1:9" ht="15" customHeight="1">
      <c r="A29" s="69">
        <v>1</v>
      </c>
      <c r="B29" s="93" t="s">
        <v>22</v>
      </c>
      <c r="C29" s="94"/>
      <c r="D29" s="94"/>
      <c r="E29" s="94"/>
      <c r="F29" s="94"/>
      <c r="G29" s="95"/>
      <c r="H29" s="6">
        <f>I29/$I$37</f>
        <v>0.6546064381015285</v>
      </c>
      <c r="I29" s="7">
        <f>I9/H9*I5</f>
        <v>1447.6</v>
      </c>
    </row>
    <row r="30" spans="1:9" ht="15" customHeight="1">
      <c r="A30" s="69">
        <v>2</v>
      </c>
      <c r="B30" s="93" t="s">
        <v>165</v>
      </c>
      <c r="C30" s="94"/>
      <c r="D30" s="94"/>
      <c r="E30" s="94"/>
      <c r="F30" s="94"/>
      <c r="G30" s="95"/>
      <c r="H30" s="6">
        <f>I30/$I$37</f>
        <v>0.00746131958322411</v>
      </c>
      <c r="I30" s="72">
        <f>I11*I8</f>
        <v>16.5</v>
      </c>
    </row>
    <row r="31" spans="1:11" ht="15" customHeight="1">
      <c r="A31" s="69">
        <v>3</v>
      </c>
      <c r="B31" s="93" t="s">
        <v>174</v>
      </c>
      <c r="C31" s="94"/>
      <c r="D31" s="94"/>
      <c r="E31" s="94"/>
      <c r="F31" s="94"/>
      <c r="G31" s="95"/>
      <c r="H31" s="6">
        <f>I31/$I$37</f>
        <v>0.19638193143045854</v>
      </c>
      <c r="I31" s="7">
        <f>(I29)*I6*I7</f>
        <v>434.28</v>
      </c>
      <c r="K31" s="47"/>
    </row>
    <row r="32" spans="1:9" ht="15" customHeight="1">
      <c r="A32" s="8">
        <v>4</v>
      </c>
      <c r="B32" s="93" t="s">
        <v>147</v>
      </c>
      <c r="C32" s="94"/>
      <c r="D32" s="94"/>
      <c r="E32" s="94"/>
      <c r="F32" s="94"/>
      <c r="G32" s="95"/>
      <c r="H32" s="6">
        <f>I32/$I$37</f>
        <v>0</v>
      </c>
      <c r="I32" s="7">
        <v>0</v>
      </c>
    </row>
    <row r="33" spans="1:16" ht="17.25" customHeight="1">
      <c r="A33" s="69">
        <v>5</v>
      </c>
      <c r="B33" s="93" t="s">
        <v>172</v>
      </c>
      <c r="C33" s="94"/>
      <c r="D33" s="94"/>
      <c r="E33" s="94"/>
      <c r="F33" s="94"/>
      <c r="G33" s="95"/>
      <c r="H33" s="6">
        <f>I33/$I$37</f>
        <v>0.025123497545955782</v>
      </c>
      <c r="I33" s="76">
        <f>I23*I24</f>
        <v>55.55823000000016</v>
      </c>
      <c r="J33" s="43"/>
      <c r="M33" s="2"/>
      <c r="N33" s="2"/>
      <c r="O33" s="2"/>
      <c r="P33" s="2"/>
    </row>
    <row r="34" spans="1:16" ht="15" customHeight="1">
      <c r="A34" s="69">
        <v>6</v>
      </c>
      <c r="B34" s="93" t="s">
        <v>171</v>
      </c>
      <c r="C34" s="94"/>
      <c r="D34" s="94"/>
      <c r="E34" s="94"/>
      <c r="F34" s="94"/>
      <c r="G34" s="95"/>
      <c r="H34" s="6">
        <f>I34/$I$37</f>
        <v>0.09283509485803496</v>
      </c>
      <c r="I34" s="76">
        <f>I21*I22</f>
        <v>205.296</v>
      </c>
      <c r="M34" s="46"/>
      <c r="N34" s="2"/>
      <c r="O34" s="2"/>
      <c r="P34" s="2"/>
    </row>
    <row r="35" spans="1:16" ht="15.75" customHeight="1">
      <c r="A35" s="69">
        <v>7</v>
      </c>
      <c r="B35" s="93" t="s">
        <v>153</v>
      </c>
      <c r="C35" s="94"/>
      <c r="D35" s="94"/>
      <c r="E35" s="94"/>
      <c r="F35" s="94"/>
      <c r="G35" s="95"/>
      <c r="H35" s="6">
        <f>I35/$I$37</f>
        <v>0.02359171848079815</v>
      </c>
      <c r="I35" s="72">
        <f>(I33+I34)*I25</f>
        <v>52.17084600000003</v>
      </c>
      <c r="J35" s="45"/>
      <c r="M35" s="62"/>
      <c r="N35" s="2"/>
      <c r="O35" s="2"/>
      <c r="P35" s="2"/>
    </row>
    <row r="36" spans="1:10" ht="15">
      <c r="A36" s="69">
        <v>8</v>
      </c>
      <c r="B36" s="93" t="s">
        <v>176</v>
      </c>
      <c r="C36" s="94"/>
      <c r="D36" s="94"/>
      <c r="E36" s="94"/>
      <c r="F36" s="94"/>
      <c r="G36" s="95"/>
      <c r="H36" s="6">
        <f>I36/$I$37</f>
        <v>0</v>
      </c>
      <c r="I36" s="7">
        <v>0</v>
      </c>
      <c r="J36" s="43"/>
    </row>
    <row r="37" spans="1:16" s="10" customFormat="1" ht="15" customHeight="1">
      <c r="A37" s="116" t="s">
        <v>148</v>
      </c>
      <c r="B37" s="117"/>
      <c r="C37" s="117"/>
      <c r="D37" s="117"/>
      <c r="E37" s="117"/>
      <c r="F37" s="117"/>
      <c r="G37" s="118"/>
      <c r="H37" s="9">
        <f>SUM(H29:H36)</f>
        <v>1.0000000000000002</v>
      </c>
      <c r="I37" s="73">
        <f>SUM(I29:I36)</f>
        <v>2211.405076</v>
      </c>
      <c r="J37" s="43"/>
      <c r="K37"/>
      <c r="L37"/>
      <c r="M37"/>
      <c r="N37"/>
      <c r="O37"/>
      <c r="P37"/>
    </row>
    <row r="38" spans="1:16" s="10" customFormat="1" ht="15">
      <c r="A38" s="11"/>
      <c r="B38" s="11"/>
      <c r="C38" s="11"/>
      <c r="D38" s="11"/>
      <c r="E38" s="11"/>
      <c r="F38" s="11"/>
      <c r="G38" s="11"/>
      <c r="H38" s="12"/>
      <c r="I38" s="13"/>
      <c r="J38"/>
      <c r="K38"/>
      <c r="L38"/>
      <c r="M38"/>
      <c r="N38"/>
      <c r="O38"/>
      <c r="P38"/>
    </row>
    <row r="39" ht="4.5" customHeight="1"/>
    <row r="40" spans="1:9" ht="33.75" customHeight="1">
      <c r="A40" s="5" t="s">
        <v>23</v>
      </c>
      <c r="B40" s="126" t="s">
        <v>24</v>
      </c>
      <c r="C40" s="127"/>
      <c r="D40" s="127"/>
      <c r="E40" s="127"/>
      <c r="F40" s="127"/>
      <c r="G40" s="128"/>
      <c r="H40" s="5" t="s">
        <v>20</v>
      </c>
      <c r="I40" s="5" t="s">
        <v>21</v>
      </c>
    </row>
    <row r="41" spans="1:9" ht="15" customHeight="1">
      <c r="A41" s="69">
        <v>1</v>
      </c>
      <c r="B41" s="93" t="s">
        <v>110</v>
      </c>
      <c r="C41" s="94"/>
      <c r="D41" s="94"/>
      <c r="E41" s="94"/>
      <c r="F41" s="94"/>
      <c r="G41" s="95"/>
      <c r="H41" s="6">
        <v>0.2</v>
      </c>
      <c r="I41" s="7">
        <f>($I$37-I30)*H41</f>
        <v>438.9810152</v>
      </c>
    </row>
    <row r="42" spans="1:9" ht="15" customHeight="1">
      <c r="A42" s="69">
        <v>2</v>
      </c>
      <c r="B42" s="93" t="s">
        <v>111</v>
      </c>
      <c r="C42" s="94"/>
      <c r="D42" s="94"/>
      <c r="E42" s="94"/>
      <c r="F42" s="94"/>
      <c r="G42" s="95"/>
      <c r="H42" s="6">
        <v>0.015</v>
      </c>
      <c r="I42" s="7">
        <f>$I$37*H42</f>
        <v>33.17107614</v>
      </c>
    </row>
    <row r="43" spans="1:9" ht="15" customHeight="1">
      <c r="A43" s="69">
        <v>3</v>
      </c>
      <c r="B43" s="93" t="s">
        <v>112</v>
      </c>
      <c r="C43" s="94"/>
      <c r="D43" s="94"/>
      <c r="E43" s="94"/>
      <c r="F43" s="94"/>
      <c r="G43" s="95"/>
      <c r="H43" s="6">
        <v>0.01</v>
      </c>
      <c r="I43" s="7">
        <f aca="true" t="shared" si="0" ref="I43:I48">$I$37*H43</f>
        <v>22.11405076</v>
      </c>
    </row>
    <row r="44" spans="1:9" ht="15" customHeight="1">
      <c r="A44" s="69">
        <v>4</v>
      </c>
      <c r="B44" s="93" t="s">
        <v>113</v>
      </c>
      <c r="C44" s="94"/>
      <c r="D44" s="94"/>
      <c r="E44" s="94"/>
      <c r="F44" s="94"/>
      <c r="G44" s="95"/>
      <c r="H44" s="6">
        <v>0.002</v>
      </c>
      <c r="I44" s="7">
        <f>$I$37*H44</f>
        <v>4.422810152</v>
      </c>
    </row>
    <row r="45" spans="1:9" ht="15" customHeight="1">
      <c r="A45" s="69">
        <v>5</v>
      </c>
      <c r="B45" s="93" t="s">
        <v>114</v>
      </c>
      <c r="C45" s="94"/>
      <c r="D45" s="94"/>
      <c r="E45" s="94"/>
      <c r="F45" s="94"/>
      <c r="G45" s="95"/>
      <c r="H45" s="6">
        <v>0.025</v>
      </c>
      <c r="I45" s="7">
        <f t="shared" si="0"/>
        <v>55.2851269</v>
      </c>
    </row>
    <row r="46" spans="1:9" ht="15" customHeight="1">
      <c r="A46" s="69">
        <v>6</v>
      </c>
      <c r="B46" s="93" t="s">
        <v>115</v>
      </c>
      <c r="C46" s="94"/>
      <c r="D46" s="94"/>
      <c r="E46" s="94"/>
      <c r="F46" s="94"/>
      <c r="G46" s="95"/>
      <c r="H46" s="6">
        <v>0.08</v>
      </c>
      <c r="I46" s="7">
        <f>($I$37-I30)*H46</f>
        <v>175.59240608000002</v>
      </c>
    </row>
    <row r="47" spans="1:9" ht="15" customHeight="1">
      <c r="A47" s="69">
        <v>7</v>
      </c>
      <c r="B47" s="93" t="s">
        <v>116</v>
      </c>
      <c r="C47" s="94"/>
      <c r="D47" s="94"/>
      <c r="E47" s="94"/>
      <c r="F47" s="94"/>
      <c r="G47" s="95"/>
      <c r="H47" s="6">
        <v>0.03</v>
      </c>
      <c r="I47" s="7">
        <f>$I$37*H47</f>
        <v>66.34215228</v>
      </c>
    </row>
    <row r="48" spans="1:9" ht="15" customHeight="1">
      <c r="A48" s="69">
        <v>8</v>
      </c>
      <c r="B48" s="93" t="s">
        <v>117</v>
      </c>
      <c r="C48" s="94"/>
      <c r="D48" s="94"/>
      <c r="E48" s="94"/>
      <c r="F48" s="94"/>
      <c r="G48" s="95"/>
      <c r="H48" s="6">
        <v>0.006</v>
      </c>
      <c r="I48" s="7">
        <f t="shared" si="0"/>
        <v>13.268430456</v>
      </c>
    </row>
    <row r="49" spans="1:16" s="10" customFormat="1" ht="15" customHeight="1">
      <c r="A49" s="116" t="s">
        <v>25</v>
      </c>
      <c r="B49" s="117"/>
      <c r="C49" s="117"/>
      <c r="D49" s="117"/>
      <c r="E49" s="117"/>
      <c r="F49" s="117"/>
      <c r="G49" s="118"/>
      <c r="H49" s="9">
        <f>SUM(H41:H48)</f>
        <v>0.3680000000000001</v>
      </c>
      <c r="I49" s="73">
        <f>SUM(I41:I48)</f>
        <v>809.1770679680001</v>
      </c>
      <c r="J49"/>
      <c r="K49"/>
      <c r="L49"/>
      <c r="M49"/>
      <c r="N49"/>
      <c r="O49"/>
      <c r="P49"/>
    </row>
    <row r="50" spans="1:9" ht="15" customHeight="1">
      <c r="A50" s="147" t="s">
        <v>26</v>
      </c>
      <c r="B50" s="147"/>
      <c r="C50" s="147"/>
      <c r="D50" s="147"/>
      <c r="E50" s="147"/>
      <c r="F50" s="147"/>
      <c r="G50" s="147"/>
      <c r="H50" s="147"/>
      <c r="I50" s="147"/>
    </row>
    <row r="51" spans="1:9" ht="30.75" customHeight="1">
      <c r="A51" s="146" t="s">
        <v>164</v>
      </c>
      <c r="B51" s="146"/>
      <c r="C51" s="146"/>
      <c r="D51" s="146"/>
      <c r="E51" s="146"/>
      <c r="F51" s="146"/>
      <c r="G51" s="146"/>
      <c r="H51" s="146"/>
      <c r="I51" s="146"/>
    </row>
    <row r="52" spans="1:9" ht="33.75" customHeight="1">
      <c r="A52" s="5" t="s">
        <v>27</v>
      </c>
      <c r="B52" s="126" t="s">
        <v>28</v>
      </c>
      <c r="C52" s="127"/>
      <c r="D52" s="127"/>
      <c r="E52" s="127"/>
      <c r="F52" s="127"/>
      <c r="G52" s="128"/>
      <c r="H52" s="5" t="s">
        <v>20</v>
      </c>
      <c r="I52" s="5" t="s">
        <v>21</v>
      </c>
    </row>
    <row r="53" spans="1:9" ht="15" customHeight="1">
      <c r="A53" s="69">
        <v>1</v>
      </c>
      <c r="B53" s="93" t="s">
        <v>134</v>
      </c>
      <c r="C53" s="94"/>
      <c r="D53" s="94"/>
      <c r="E53" s="94"/>
      <c r="F53" s="94"/>
      <c r="G53" s="95"/>
      <c r="H53" s="6">
        <v>0.1111</v>
      </c>
      <c r="I53" s="7">
        <f>($I$37-I30)*H53</f>
        <v>243.8539539436</v>
      </c>
    </row>
    <row r="54" spans="1:9" ht="15" customHeight="1">
      <c r="A54" s="69">
        <v>2</v>
      </c>
      <c r="B54" s="93" t="s">
        <v>135</v>
      </c>
      <c r="C54" s="94"/>
      <c r="D54" s="94"/>
      <c r="E54" s="94"/>
      <c r="F54" s="94"/>
      <c r="G54" s="95"/>
      <c r="H54" s="6">
        <v>0.02047</v>
      </c>
      <c r="I54" s="7">
        <f>$I$37*H54</f>
        <v>45.26746190572</v>
      </c>
    </row>
    <row r="55" spans="1:9" ht="15" customHeight="1">
      <c r="A55" s="69">
        <v>3</v>
      </c>
      <c r="B55" s="93" t="s">
        <v>136</v>
      </c>
      <c r="C55" s="94"/>
      <c r="D55" s="94"/>
      <c r="E55" s="94"/>
      <c r="F55" s="94"/>
      <c r="G55" s="95"/>
      <c r="H55" s="6">
        <v>0.012123</v>
      </c>
      <c r="I55" s="7">
        <f>$I$37*H55</f>
        <v>26.808863736348002</v>
      </c>
    </row>
    <row r="56" spans="1:9" ht="15" customHeight="1">
      <c r="A56" s="69">
        <v>4</v>
      </c>
      <c r="B56" s="93" t="s">
        <v>137</v>
      </c>
      <c r="C56" s="94"/>
      <c r="D56" s="94"/>
      <c r="E56" s="94"/>
      <c r="F56" s="94"/>
      <c r="G56" s="95"/>
      <c r="H56" s="6">
        <v>0.011436</v>
      </c>
      <c r="I56" s="7">
        <f>$I$37*H56</f>
        <v>25.289628449136</v>
      </c>
    </row>
    <row r="57" spans="1:9" ht="15" customHeight="1">
      <c r="A57" s="69">
        <v>5</v>
      </c>
      <c r="B57" s="93" t="s">
        <v>138</v>
      </c>
      <c r="C57" s="94"/>
      <c r="D57" s="94"/>
      <c r="E57" s="94"/>
      <c r="F57" s="94"/>
      <c r="G57" s="95"/>
      <c r="H57" s="6">
        <v>0.000174</v>
      </c>
      <c r="I57" s="7">
        <f>$I$37*H57</f>
        <v>0.384784483224</v>
      </c>
    </row>
    <row r="58" spans="1:9" ht="15" customHeight="1">
      <c r="A58" s="69">
        <v>6</v>
      </c>
      <c r="B58" s="93" t="s">
        <v>139</v>
      </c>
      <c r="C58" s="94"/>
      <c r="D58" s="94"/>
      <c r="E58" s="94"/>
      <c r="F58" s="94"/>
      <c r="G58" s="95"/>
      <c r="H58" s="6">
        <v>0.000442</v>
      </c>
      <c r="I58" s="7">
        <f>$I$37*H58</f>
        <v>0.977441043592</v>
      </c>
    </row>
    <row r="59" spans="1:9" ht="15" customHeight="1">
      <c r="A59" s="69">
        <v>7</v>
      </c>
      <c r="B59" s="93" t="s">
        <v>140</v>
      </c>
      <c r="C59" s="94"/>
      <c r="D59" s="94"/>
      <c r="E59" s="94"/>
      <c r="F59" s="94"/>
      <c r="G59" s="95"/>
      <c r="H59" s="6">
        <v>0.000185</v>
      </c>
      <c r="I59" s="7">
        <f>($I$37-I30)*H59</f>
        <v>0.40605743905999997</v>
      </c>
    </row>
    <row r="60" spans="1:9" ht="15" customHeight="1">
      <c r="A60" s="69">
        <v>8</v>
      </c>
      <c r="B60" s="93" t="s">
        <v>141</v>
      </c>
      <c r="C60" s="94"/>
      <c r="D60" s="94"/>
      <c r="E60" s="94"/>
      <c r="F60" s="94"/>
      <c r="G60" s="95"/>
      <c r="H60" s="6">
        <v>0.09079</v>
      </c>
      <c r="I60" s="7">
        <f>($I$37-I30)*H60</f>
        <v>199.27543185003998</v>
      </c>
    </row>
    <row r="61" spans="1:16" s="10" customFormat="1" ht="15" customHeight="1">
      <c r="A61" s="116" t="s">
        <v>29</v>
      </c>
      <c r="B61" s="117"/>
      <c r="C61" s="117"/>
      <c r="D61" s="117"/>
      <c r="E61" s="117"/>
      <c r="F61" s="117"/>
      <c r="G61" s="118"/>
      <c r="H61" s="9">
        <f>SUM(H53:H60)</f>
        <v>0.24672</v>
      </c>
      <c r="I61" s="73">
        <f>SUM(I53:I60)</f>
        <v>542.26362285072</v>
      </c>
      <c r="J61"/>
      <c r="K61"/>
      <c r="L61"/>
      <c r="M61"/>
      <c r="N61"/>
      <c r="O61"/>
      <c r="P61"/>
    </row>
    <row r="62" spans="1:9" ht="11.25" customHeight="1">
      <c r="A62" s="15" t="s">
        <v>30</v>
      </c>
      <c r="B62" s="119" t="s">
        <v>31</v>
      </c>
      <c r="C62" s="119"/>
      <c r="D62" s="119"/>
      <c r="E62" s="119"/>
      <c r="F62" s="119"/>
      <c r="G62" s="119"/>
      <c r="H62" s="119"/>
      <c r="I62" s="119"/>
    </row>
    <row r="63" spans="1:9" ht="15" customHeight="1">
      <c r="A63" s="15" t="s">
        <v>32</v>
      </c>
      <c r="B63" s="145" t="s">
        <v>33</v>
      </c>
      <c r="C63" s="145"/>
      <c r="D63" s="145"/>
      <c r="E63" s="145"/>
      <c r="F63" s="145"/>
      <c r="G63" s="145"/>
      <c r="H63" s="145"/>
      <c r="I63" s="145"/>
    </row>
    <row r="64" spans="1:9" ht="33.75" customHeight="1">
      <c r="A64" s="5" t="s">
        <v>34</v>
      </c>
      <c r="B64" s="126" t="s">
        <v>35</v>
      </c>
      <c r="C64" s="127"/>
      <c r="D64" s="127"/>
      <c r="E64" s="127"/>
      <c r="F64" s="127"/>
      <c r="G64" s="128"/>
      <c r="H64" s="5" t="s">
        <v>20</v>
      </c>
      <c r="I64" s="5" t="s">
        <v>21</v>
      </c>
    </row>
    <row r="65" spans="1:9" ht="15" customHeight="1">
      <c r="A65" s="69">
        <v>1</v>
      </c>
      <c r="B65" s="93" t="s">
        <v>142</v>
      </c>
      <c r="C65" s="94"/>
      <c r="D65" s="94"/>
      <c r="E65" s="94"/>
      <c r="F65" s="94"/>
      <c r="G65" s="95"/>
      <c r="H65" s="6">
        <v>0.023627</v>
      </c>
      <c r="I65" s="7">
        <f>($I$37-I30)*H65</f>
        <v>51.859022230651995</v>
      </c>
    </row>
    <row r="66" spans="1:9" ht="15" customHeight="1">
      <c r="A66" s="69">
        <v>2</v>
      </c>
      <c r="B66" s="93" t="s">
        <v>143</v>
      </c>
      <c r="C66" s="94"/>
      <c r="D66" s="94"/>
      <c r="E66" s="94"/>
      <c r="F66" s="94"/>
      <c r="G66" s="95"/>
      <c r="H66" s="6">
        <v>0.001717</v>
      </c>
      <c r="I66" s="7">
        <f>($I$37-I30)*H66</f>
        <v>3.768652015492</v>
      </c>
    </row>
    <row r="67" spans="1:9" ht="15" customHeight="1">
      <c r="A67" s="69">
        <v>3</v>
      </c>
      <c r="B67" s="93" t="s">
        <v>144</v>
      </c>
      <c r="C67" s="94"/>
      <c r="D67" s="94"/>
      <c r="E67" s="94"/>
      <c r="F67" s="94"/>
      <c r="G67" s="95"/>
      <c r="H67" s="6">
        <v>0.011813</v>
      </c>
      <c r="I67" s="7">
        <f>($I$37-I30)*H67</f>
        <v>25.928413662788003</v>
      </c>
    </row>
    <row r="68" spans="1:16" s="10" customFormat="1" ht="15" customHeight="1">
      <c r="A68" s="116" t="s">
        <v>36</v>
      </c>
      <c r="B68" s="117"/>
      <c r="C68" s="117"/>
      <c r="D68" s="117"/>
      <c r="E68" s="117"/>
      <c r="F68" s="117"/>
      <c r="G68" s="118"/>
      <c r="H68" s="9">
        <f>SUM(H65:H67)</f>
        <v>0.037156999999999996</v>
      </c>
      <c r="I68" s="73">
        <f>SUM(I65:I67)</f>
        <v>81.556087908932</v>
      </c>
      <c r="J68"/>
      <c r="K68"/>
      <c r="L68"/>
      <c r="M68"/>
      <c r="N68"/>
      <c r="O68"/>
      <c r="P68"/>
    </row>
    <row r="69" ht="4.5" customHeight="1"/>
    <row r="70" spans="1:9" ht="45">
      <c r="A70" s="5" t="s">
        <v>37</v>
      </c>
      <c r="B70" s="126" t="s">
        <v>38</v>
      </c>
      <c r="C70" s="127"/>
      <c r="D70" s="127"/>
      <c r="E70" s="127"/>
      <c r="F70" s="127"/>
      <c r="G70" s="128"/>
      <c r="H70" s="5" t="s">
        <v>20</v>
      </c>
      <c r="I70" s="5" t="s">
        <v>21</v>
      </c>
    </row>
    <row r="71" spans="1:9" ht="15" customHeight="1">
      <c r="A71" s="69">
        <v>1</v>
      </c>
      <c r="B71" s="93" t="s">
        <v>145</v>
      </c>
      <c r="C71" s="94"/>
      <c r="D71" s="94"/>
      <c r="E71" s="94"/>
      <c r="F71" s="94"/>
      <c r="G71" s="95"/>
      <c r="H71" s="6">
        <f>(H49*H61)</f>
        <v>0.09079296000000002</v>
      </c>
      <c r="I71" s="7">
        <f>I37*H71</f>
        <v>200.780012609065</v>
      </c>
    </row>
    <row r="72" spans="1:16" s="10" customFormat="1" ht="15" customHeight="1">
      <c r="A72" s="116" t="s">
        <v>39</v>
      </c>
      <c r="B72" s="117"/>
      <c r="C72" s="117"/>
      <c r="D72" s="117"/>
      <c r="E72" s="117"/>
      <c r="F72" s="117"/>
      <c r="G72" s="118"/>
      <c r="H72" s="9">
        <f>SUM(H71:H71)</f>
        <v>0.09079296000000002</v>
      </c>
      <c r="I72" s="73">
        <f>I71</f>
        <v>200.780012609065</v>
      </c>
      <c r="J72"/>
      <c r="K72"/>
      <c r="L72"/>
      <c r="M72"/>
      <c r="N72"/>
      <c r="O72"/>
      <c r="P72"/>
    </row>
    <row r="73" ht="4.5" customHeight="1"/>
    <row r="74" spans="1:16" s="10" customFormat="1" ht="15">
      <c r="A74" s="144" t="s">
        <v>40</v>
      </c>
      <c r="B74" s="144"/>
      <c r="C74" s="144"/>
      <c r="D74" s="144"/>
      <c r="E74" s="144"/>
      <c r="F74" s="144"/>
      <c r="G74" s="144"/>
      <c r="H74" s="16">
        <f>H49+H61+H68+H72</f>
        <v>0.7426699600000002</v>
      </c>
      <c r="I74" s="17">
        <f>I49+I61+I68+I72</f>
        <v>1633.7767913367175</v>
      </c>
      <c r="J74"/>
      <c r="K74"/>
      <c r="L74"/>
      <c r="M74"/>
      <c r="N74"/>
      <c r="O74"/>
      <c r="P74"/>
    </row>
    <row r="75" ht="4.5" customHeight="1"/>
    <row r="76" spans="1:9" ht="45">
      <c r="A76" s="5" t="s">
        <v>41</v>
      </c>
      <c r="B76" s="126" t="s">
        <v>42</v>
      </c>
      <c r="C76" s="127"/>
      <c r="D76" s="127"/>
      <c r="E76" s="127"/>
      <c r="F76" s="127"/>
      <c r="G76" s="128"/>
      <c r="H76" s="5" t="s">
        <v>20</v>
      </c>
      <c r="I76" s="5" t="s">
        <v>21</v>
      </c>
    </row>
    <row r="77" spans="1:9" ht="15" customHeight="1">
      <c r="A77" s="67">
        <v>1</v>
      </c>
      <c r="B77" s="93" t="s">
        <v>146</v>
      </c>
      <c r="C77" s="94"/>
      <c r="D77" s="94"/>
      <c r="E77" s="94"/>
      <c r="F77" s="94"/>
      <c r="G77" s="95"/>
      <c r="H77" s="6">
        <f>I77/$I$37</f>
        <v>0.10434994588029063</v>
      </c>
      <c r="I77" s="7">
        <f>I88</f>
        <v>230.76</v>
      </c>
    </row>
    <row r="78" spans="1:9" ht="15" customHeight="1">
      <c r="A78" s="67">
        <v>2</v>
      </c>
      <c r="B78" s="93" t="s">
        <v>43</v>
      </c>
      <c r="C78" s="94"/>
      <c r="D78" s="94"/>
      <c r="E78" s="94"/>
      <c r="F78" s="94"/>
      <c r="G78" s="95"/>
      <c r="H78" s="6">
        <f>I78/$I$37</f>
        <v>0.00820473833442535</v>
      </c>
      <c r="I78" s="7">
        <f>I84</f>
        <v>18.144000000000005</v>
      </c>
    </row>
    <row r="79" spans="1:9" ht="15" customHeight="1">
      <c r="A79" s="69">
        <v>3</v>
      </c>
      <c r="B79" s="93" t="s">
        <v>185</v>
      </c>
      <c r="C79" s="94"/>
      <c r="D79" s="94"/>
      <c r="E79" s="94"/>
      <c r="F79" s="94"/>
      <c r="G79" s="95"/>
      <c r="H79" s="6">
        <f>I79/$I$37</f>
        <v>0.06694838571492905</v>
      </c>
      <c r="I79" s="7">
        <f>($I$9/$H$9)*1.5*$I$20</f>
        <v>148.04999999999998</v>
      </c>
    </row>
    <row r="80" spans="1:9" ht="15" customHeight="1">
      <c r="A80" s="116" t="s">
        <v>45</v>
      </c>
      <c r="B80" s="117"/>
      <c r="C80" s="117"/>
      <c r="D80" s="117"/>
      <c r="E80" s="117"/>
      <c r="F80" s="117"/>
      <c r="G80" s="118"/>
      <c r="H80" s="9">
        <f>H77+H78+H79</f>
        <v>0.17950306992964504</v>
      </c>
      <c r="I80" s="73">
        <f>SUM(I77:I79)</f>
        <v>396.95399999999995</v>
      </c>
    </row>
    <row r="81" spans="1:9" ht="4.5" customHeight="1">
      <c r="A81" s="11"/>
      <c r="B81" s="11"/>
      <c r="C81" s="11"/>
      <c r="D81" s="11"/>
      <c r="E81" s="11"/>
      <c r="F81" s="11"/>
      <c r="G81" s="11"/>
      <c r="H81" s="12"/>
      <c r="I81" s="13"/>
    </row>
    <row r="82" spans="1:9" ht="15" customHeight="1">
      <c r="A82" s="142" t="s">
        <v>46</v>
      </c>
      <c r="B82" s="142"/>
      <c r="C82" s="142"/>
      <c r="D82" s="142"/>
      <c r="E82" s="142"/>
      <c r="F82" s="142"/>
      <c r="G82" s="142"/>
      <c r="H82" s="142"/>
      <c r="I82" s="142"/>
    </row>
    <row r="83" spans="1:9" ht="24" customHeight="1">
      <c r="A83" s="123" t="s">
        <v>47</v>
      </c>
      <c r="B83" s="123"/>
      <c r="C83" s="69" t="s">
        <v>48</v>
      </c>
      <c r="D83" s="69" t="s">
        <v>49</v>
      </c>
      <c r="E83" s="69" t="s">
        <v>50</v>
      </c>
      <c r="F83" s="69" t="s">
        <v>51</v>
      </c>
      <c r="G83" s="69" t="s">
        <v>52</v>
      </c>
      <c r="H83" s="6" t="s">
        <v>53</v>
      </c>
      <c r="I83" s="7" t="s">
        <v>54</v>
      </c>
    </row>
    <row r="84" spans="1:9" ht="15" customHeight="1">
      <c r="A84" s="143">
        <f>I12</f>
        <v>3.5</v>
      </c>
      <c r="B84" s="143"/>
      <c r="C84" s="69">
        <f>I13</f>
        <v>15</v>
      </c>
      <c r="D84" s="69">
        <f>I14</f>
        <v>2</v>
      </c>
      <c r="E84" s="70">
        <f>A84*C84*D84</f>
        <v>105</v>
      </c>
      <c r="F84" s="7">
        <f>I29</f>
        <v>1447.6</v>
      </c>
      <c r="G84" s="18">
        <f>I15</f>
        <v>0.06</v>
      </c>
      <c r="H84" s="70">
        <f>F84*G84</f>
        <v>86.856</v>
      </c>
      <c r="I84" s="7">
        <f>(IF(H84&gt;=E84,0,E84-H84))</f>
        <v>18.144000000000005</v>
      </c>
    </row>
    <row r="85" spans="1:9" ht="4.5" customHeight="1">
      <c r="A85" s="19"/>
      <c r="B85" s="19"/>
      <c r="C85" s="19"/>
      <c r="D85" s="19"/>
      <c r="E85" s="20"/>
      <c r="F85" s="20"/>
      <c r="G85" s="21"/>
      <c r="H85" s="20"/>
      <c r="I85" s="22"/>
    </row>
    <row r="86" spans="1:9" ht="15" customHeight="1">
      <c r="A86" s="142" t="s">
        <v>55</v>
      </c>
      <c r="B86" s="142"/>
      <c r="C86" s="142"/>
      <c r="D86" s="142"/>
      <c r="E86" s="142"/>
      <c r="F86" s="142"/>
      <c r="G86" s="142"/>
      <c r="H86" s="142"/>
      <c r="I86" s="142"/>
    </row>
    <row r="87" spans="1:9" ht="26.25" customHeight="1">
      <c r="A87" s="123" t="s">
        <v>47</v>
      </c>
      <c r="B87" s="123"/>
      <c r="C87" s="69" t="s">
        <v>56</v>
      </c>
      <c r="D87" s="69" t="s">
        <v>49</v>
      </c>
      <c r="E87" s="69" t="s">
        <v>50</v>
      </c>
      <c r="F87" s="69" t="s">
        <v>51</v>
      </c>
      <c r="G87" s="69" t="s">
        <v>52</v>
      </c>
      <c r="H87" s="6" t="str">
        <f>H83</f>
        <v>Valor desconto</v>
      </c>
      <c r="I87" s="7" t="s">
        <v>54</v>
      </c>
    </row>
    <row r="88" spans="1:9" ht="15" customHeight="1">
      <c r="A88" s="143">
        <f>I16</f>
        <v>19.23</v>
      </c>
      <c r="B88" s="143"/>
      <c r="C88" s="69">
        <f>I17</f>
        <v>15</v>
      </c>
      <c r="D88" s="69">
        <f>I18</f>
        <v>1</v>
      </c>
      <c r="E88" s="70">
        <f>A88*C88*D88</f>
        <v>288.45</v>
      </c>
      <c r="F88" s="70">
        <f>E88</f>
        <v>288.45</v>
      </c>
      <c r="G88" s="18">
        <f>I19</f>
        <v>0.2</v>
      </c>
      <c r="H88" s="70">
        <f>F88*G88</f>
        <v>57.69</v>
      </c>
      <c r="I88" s="7">
        <f>(IF(H88&gt;=E88,0,E88-H88))</f>
        <v>230.76</v>
      </c>
    </row>
    <row r="89" ht="4.5" customHeight="1"/>
    <row r="90" spans="1:9" ht="12">
      <c r="A90" s="101" t="s">
        <v>130</v>
      </c>
      <c r="B90" s="101"/>
      <c r="C90" s="101"/>
      <c r="D90" s="101"/>
      <c r="E90" s="101"/>
      <c r="F90" s="101"/>
      <c r="G90" s="101"/>
      <c r="H90" s="24">
        <f>H37+H74+H80</f>
        <v>1.9221730299296453</v>
      </c>
      <c r="I90" s="25">
        <f>I37+I74+I80</f>
        <v>4242.135867336718</v>
      </c>
    </row>
    <row r="91" spans="1:16" s="29" customFormat="1" ht="4.5" customHeight="1">
      <c r="A91" s="26"/>
      <c r="B91" s="26"/>
      <c r="C91" s="26"/>
      <c r="D91" s="26"/>
      <c r="E91" s="26"/>
      <c r="F91" s="26"/>
      <c r="G91" s="26"/>
      <c r="H91" s="27"/>
      <c r="I91" s="28"/>
      <c r="J91"/>
      <c r="K91"/>
      <c r="L91"/>
      <c r="M91"/>
      <c r="N91"/>
      <c r="O91"/>
      <c r="P91"/>
    </row>
    <row r="92" spans="1:9" ht="11.25">
      <c r="A92" s="92" t="s">
        <v>57</v>
      </c>
      <c r="B92" s="92"/>
      <c r="C92" s="92"/>
      <c r="D92" s="92"/>
      <c r="E92" s="92"/>
      <c r="F92" s="92"/>
      <c r="G92" s="92"/>
      <c r="H92" s="92"/>
      <c r="I92" s="92"/>
    </row>
    <row r="93" spans="1:9" ht="45">
      <c r="A93" s="5" t="s">
        <v>18</v>
      </c>
      <c r="B93" s="126" t="s">
        <v>58</v>
      </c>
      <c r="C93" s="127"/>
      <c r="D93" s="127"/>
      <c r="E93" s="127"/>
      <c r="F93" s="127"/>
      <c r="G93" s="128"/>
      <c r="H93" s="5" t="s">
        <v>20</v>
      </c>
      <c r="I93" s="5" t="s">
        <v>21</v>
      </c>
    </row>
    <row r="94" spans="1:9" ht="15" customHeight="1">
      <c r="A94" s="69">
        <v>1</v>
      </c>
      <c r="B94" s="93" t="s">
        <v>59</v>
      </c>
      <c r="C94" s="94"/>
      <c r="D94" s="94"/>
      <c r="E94" s="94"/>
      <c r="F94" s="94"/>
      <c r="G94" s="95"/>
      <c r="H94" s="6">
        <f>I94/$I$105</f>
        <v>0</v>
      </c>
      <c r="I94" s="7">
        <v>0</v>
      </c>
    </row>
    <row r="95" spans="1:9" ht="15" customHeight="1">
      <c r="A95" s="69">
        <v>2</v>
      </c>
      <c r="B95" s="136" t="s">
        <v>120</v>
      </c>
      <c r="C95" s="137"/>
      <c r="D95" s="137"/>
      <c r="E95" s="137"/>
      <c r="F95" s="137"/>
      <c r="G95" s="138"/>
      <c r="H95" s="6">
        <f>I95/$I$105</f>
        <v>0</v>
      </c>
      <c r="I95" s="7">
        <f>IF(F103=10%,G103,0)</f>
        <v>0</v>
      </c>
    </row>
    <row r="96" spans="1:9" ht="15" customHeight="1">
      <c r="A96" s="69">
        <v>3</v>
      </c>
      <c r="B96" s="93" t="s">
        <v>60</v>
      </c>
      <c r="C96" s="94"/>
      <c r="D96" s="94"/>
      <c r="E96" s="94"/>
      <c r="F96" s="94"/>
      <c r="G96" s="95"/>
      <c r="H96" s="6">
        <f>I96/$I$105</f>
        <v>0</v>
      </c>
      <c r="I96" s="7">
        <v>0</v>
      </c>
    </row>
    <row r="97" spans="1:9" ht="15" customHeight="1">
      <c r="A97" s="69">
        <v>4</v>
      </c>
      <c r="B97" s="139" t="s">
        <v>121</v>
      </c>
      <c r="C97" s="140"/>
      <c r="D97" s="140"/>
      <c r="E97" s="140"/>
      <c r="F97" s="140"/>
      <c r="G97" s="141"/>
      <c r="H97" s="6">
        <f>I97/$I$105</f>
        <v>0</v>
      </c>
      <c r="I97" s="7">
        <v>0</v>
      </c>
    </row>
    <row r="98" spans="1:9" ht="15" customHeight="1">
      <c r="A98" s="69">
        <v>5</v>
      </c>
      <c r="B98" s="93" t="s">
        <v>61</v>
      </c>
      <c r="C98" s="94"/>
      <c r="D98" s="94"/>
      <c r="E98" s="94"/>
      <c r="F98" s="94"/>
      <c r="G98" s="95"/>
      <c r="H98" s="6">
        <f>I98/$I$105</f>
        <v>0</v>
      </c>
      <c r="I98" s="7">
        <v>0</v>
      </c>
    </row>
    <row r="99" spans="1:9" ht="15" customHeight="1">
      <c r="A99" s="69">
        <v>6</v>
      </c>
      <c r="B99" s="93" t="s">
        <v>44</v>
      </c>
      <c r="C99" s="94"/>
      <c r="D99" s="94"/>
      <c r="E99" s="94"/>
      <c r="F99" s="94"/>
      <c r="G99" s="95"/>
      <c r="H99" s="6">
        <f>I99/$I$105</f>
        <v>0</v>
      </c>
      <c r="I99" s="7">
        <v>0</v>
      </c>
    </row>
    <row r="100" spans="1:9" ht="15" customHeight="1">
      <c r="A100" s="116" t="s">
        <v>62</v>
      </c>
      <c r="B100" s="117"/>
      <c r="C100" s="117"/>
      <c r="D100" s="117"/>
      <c r="E100" s="117"/>
      <c r="F100" s="117"/>
      <c r="G100" s="118"/>
      <c r="H100" s="9">
        <f>SUM(H94:H99)</f>
        <v>0</v>
      </c>
      <c r="I100" s="14">
        <f>SUM(I94:I99)</f>
        <v>0</v>
      </c>
    </row>
    <row r="101" spans="1:19" ht="30" customHeight="1">
      <c r="A101"/>
      <c r="B101" s="119" t="s">
        <v>122</v>
      </c>
      <c r="C101" s="119"/>
      <c r="D101" s="119"/>
      <c r="E101" s="119"/>
      <c r="F101" s="119"/>
      <c r="G101" s="119"/>
      <c r="H101" s="119"/>
      <c r="I101" s="119"/>
      <c r="Q101"/>
      <c r="R101"/>
      <c r="S101"/>
    </row>
    <row r="102" spans="1:9" ht="5.25" customHeight="1">
      <c r="A102"/>
      <c r="B102"/>
      <c r="C102"/>
      <c r="D102"/>
      <c r="E102"/>
      <c r="F102"/>
      <c r="G102"/>
      <c r="H102"/>
      <c r="I102"/>
    </row>
    <row r="103" spans="1:19" ht="48.75" customHeight="1">
      <c r="A103" s="132" t="s">
        <v>123</v>
      </c>
      <c r="B103" s="133"/>
      <c r="C103" s="133"/>
      <c r="D103" s="133"/>
      <c r="E103" s="134"/>
      <c r="F103" s="30">
        <v>0.2</v>
      </c>
      <c r="G103" s="31">
        <f>I105*F103</f>
        <v>844.7983734673435</v>
      </c>
      <c r="H103" s="32" t="s">
        <v>63</v>
      </c>
      <c r="I103" s="72">
        <f>I78</f>
        <v>18.144000000000005</v>
      </c>
      <c r="Q103"/>
      <c r="R103"/>
      <c r="S103"/>
    </row>
    <row r="104" spans="1:16" s="34" customFormat="1" ht="26.25" customHeight="1">
      <c r="A104" s="130" t="s">
        <v>64</v>
      </c>
      <c r="B104" s="130"/>
      <c r="C104" s="71" t="s">
        <v>65</v>
      </c>
      <c r="D104" s="71" t="s">
        <v>66</v>
      </c>
      <c r="E104" s="71" t="s">
        <v>67</v>
      </c>
      <c r="F104" s="71" t="s">
        <v>68</v>
      </c>
      <c r="G104" s="71" t="s">
        <v>162</v>
      </c>
      <c r="H104" s="32" t="s">
        <v>69</v>
      </c>
      <c r="I104" s="33" t="s">
        <v>70</v>
      </c>
      <c r="J104"/>
      <c r="K104"/>
      <c r="L104"/>
      <c r="M104"/>
      <c r="N104"/>
      <c r="O104"/>
      <c r="P104"/>
    </row>
    <row r="105" spans="1:9" ht="16.5" customHeight="1">
      <c r="A105" s="131">
        <f>I37</f>
        <v>2211.405076</v>
      </c>
      <c r="B105" s="131"/>
      <c r="C105" s="72">
        <f>I49</f>
        <v>809.1770679680001</v>
      </c>
      <c r="D105" s="72">
        <f>I61</f>
        <v>542.26362285072</v>
      </c>
      <c r="E105" s="72">
        <f>I68</f>
        <v>81.556087908932</v>
      </c>
      <c r="F105" s="72">
        <f>I72</f>
        <v>200.780012609065</v>
      </c>
      <c r="G105" s="72">
        <f>I80</f>
        <v>396.95399999999995</v>
      </c>
      <c r="H105" s="72">
        <f>A105+C105+D105+E105+F105+G105</f>
        <v>4242.135867336718</v>
      </c>
      <c r="I105" s="72">
        <f>H105-I103</f>
        <v>4223.991867336717</v>
      </c>
    </row>
    <row r="106" spans="1:9" ht="4.5" customHeight="1">
      <c r="A106" s="15"/>
      <c r="B106" s="135"/>
      <c r="C106" s="135"/>
      <c r="D106" s="135"/>
      <c r="E106" s="135"/>
      <c r="F106" s="135"/>
      <c r="G106" s="135"/>
      <c r="H106" s="135"/>
      <c r="I106" s="135"/>
    </row>
    <row r="107" spans="1:9" ht="45">
      <c r="A107" s="5" t="s">
        <v>23</v>
      </c>
      <c r="B107" s="126" t="s">
        <v>71</v>
      </c>
      <c r="C107" s="127"/>
      <c r="D107" s="127"/>
      <c r="E107" s="127"/>
      <c r="F107" s="127"/>
      <c r="G107" s="128"/>
      <c r="H107" s="5" t="s">
        <v>20</v>
      </c>
      <c r="I107" s="5" t="s">
        <v>21</v>
      </c>
    </row>
    <row r="108" spans="1:9" ht="15" customHeight="1">
      <c r="A108" s="69">
        <v>1</v>
      </c>
      <c r="B108" s="93" t="s">
        <v>72</v>
      </c>
      <c r="C108" s="94"/>
      <c r="D108" s="94"/>
      <c r="E108" s="94"/>
      <c r="F108" s="94"/>
      <c r="G108" s="95"/>
      <c r="H108" s="6">
        <f>I108/$I$105</f>
        <v>0</v>
      </c>
      <c r="I108" s="7">
        <v>0</v>
      </c>
    </row>
    <row r="109" spans="1:9" ht="15" customHeight="1">
      <c r="A109" s="69">
        <v>2</v>
      </c>
      <c r="B109" s="93" t="s">
        <v>73</v>
      </c>
      <c r="C109" s="94"/>
      <c r="D109" s="94"/>
      <c r="E109" s="94"/>
      <c r="F109" s="94"/>
      <c r="G109" s="95"/>
      <c r="H109" s="6">
        <f>I109/$I$105</f>
        <v>0</v>
      </c>
      <c r="I109" s="7">
        <v>0</v>
      </c>
    </row>
    <row r="110" spans="1:9" ht="15" customHeight="1">
      <c r="A110" s="116" t="s">
        <v>74</v>
      </c>
      <c r="B110" s="117"/>
      <c r="C110" s="117"/>
      <c r="D110" s="117"/>
      <c r="E110" s="117"/>
      <c r="F110" s="117"/>
      <c r="G110" s="118"/>
      <c r="H110" s="9">
        <f>H108+H109</f>
        <v>0</v>
      </c>
      <c r="I110" s="73">
        <f>I108+I109</f>
        <v>0</v>
      </c>
    </row>
    <row r="111" ht="4.5" customHeight="1"/>
    <row r="112" spans="1:9" ht="45">
      <c r="A112" s="5" t="s">
        <v>27</v>
      </c>
      <c r="B112" s="126" t="s">
        <v>75</v>
      </c>
      <c r="C112" s="127"/>
      <c r="D112" s="127"/>
      <c r="E112" s="127"/>
      <c r="F112" s="127"/>
      <c r="G112" s="128"/>
      <c r="H112" s="5" t="s">
        <v>20</v>
      </c>
      <c r="I112" s="5" t="s">
        <v>21</v>
      </c>
    </row>
    <row r="113" spans="1:9" ht="15" customHeight="1">
      <c r="A113" s="69">
        <v>1</v>
      </c>
      <c r="B113" s="93" t="s">
        <v>75</v>
      </c>
      <c r="C113" s="94"/>
      <c r="D113" s="94"/>
      <c r="E113" s="94"/>
      <c r="F113" s="94"/>
      <c r="G113" s="95"/>
      <c r="H113" s="6">
        <f>I113/I105</f>
        <v>0</v>
      </c>
      <c r="I113" s="7">
        <v>0</v>
      </c>
    </row>
    <row r="114" spans="1:9" ht="15" customHeight="1">
      <c r="A114" s="116" t="s">
        <v>74</v>
      </c>
      <c r="B114" s="117"/>
      <c r="C114" s="117"/>
      <c r="D114" s="117"/>
      <c r="E114" s="117"/>
      <c r="F114" s="117"/>
      <c r="G114" s="118"/>
      <c r="H114" s="9">
        <f>H113</f>
        <v>0</v>
      </c>
      <c r="I114" s="73">
        <f>I113</f>
        <v>0</v>
      </c>
    </row>
    <row r="115" spans="1:9" ht="4.5" customHeight="1">
      <c r="A115" s="11"/>
      <c r="B115" s="11"/>
      <c r="C115" s="11"/>
      <c r="D115" s="11"/>
      <c r="E115" s="11"/>
      <c r="F115" s="11"/>
      <c r="G115" s="11"/>
      <c r="H115" s="12"/>
      <c r="I115" s="13"/>
    </row>
    <row r="116" spans="1:9" ht="34.5" customHeight="1">
      <c r="A116" s="129" t="s">
        <v>76</v>
      </c>
      <c r="B116" s="129"/>
      <c r="C116" s="129"/>
      <c r="D116" s="129"/>
      <c r="E116" s="129"/>
      <c r="F116" s="30">
        <v>0.18</v>
      </c>
      <c r="G116" s="31">
        <f>I118*F116</f>
        <v>760.3185361206091</v>
      </c>
      <c r="H116" s="32" t="s">
        <v>63</v>
      </c>
      <c r="I116" s="72">
        <f>I78</f>
        <v>18.144000000000005</v>
      </c>
    </row>
    <row r="117" spans="1:16" s="34" customFormat="1" ht="19.5" customHeight="1">
      <c r="A117" s="130" t="s">
        <v>64</v>
      </c>
      <c r="B117" s="130"/>
      <c r="C117" s="71" t="s">
        <v>65</v>
      </c>
      <c r="D117" s="71" t="s">
        <v>66</v>
      </c>
      <c r="E117" s="71" t="s">
        <v>67</v>
      </c>
      <c r="F117" s="71" t="s">
        <v>68</v>
      </c>
      <c r="G117" s="71" t="s">
        <v>162</v>
      </c>
      <c r="H117" s="32" t="s">
        <v>69</v>
      </c>
      <c r="I117" s="33" t="s">
        <v>70</v>
      </c>
      <c r="J117"/>
      <c r="K117"/>
      <c r="L117"/>
      <c r="M117"/>
      <c r="N117"/>
      <c r="O117"/>
      <c r="P117"/>
    </row>
    <row r="118" spans="1:9" ht="16.5" customHeight="1">
      <c r="A118" s="131">
        <f>I37</f>
        <v>2211.405076</v>
      </c>
      <c r="B118" s="131"/>
      <c r="C118" s="72">
        <f>I49</f>
        <v>809.1770679680001</v>
      </c>
      <c r="D118" s="72">
        <f>I61</f>
        <v>542.26362285072</v>
      </c>
      <c r="E118" s="72">
        <f>I68</f>
        <v>81.556087908932</v>
      </c>
      <c r="F118" s="72">
        <f>I72</f>
        <v>200.780012609065</v>
      </c>
      <c r="G118" s="72">
        <f>I80</f>
        <v>396.95399999999995</v>
      </c>
      <c r="H118" s="72">
        <f>A118+C118+D118+E118+F118+G118</f>
        <v>4242.135867336718</v>
      </c>
      <c r="I118" s="72">
        <f>H118-I116</f>
        <v>4223.991867336717</v>
      </c>
    </row>
    <row r="119" ht="4.5" customHeight="1"/>
    <row r="120" spans="1:9" ht="12">
      <c r="A120" s="101" t="s">
        <v>77</v>
      </c>
      <c r="B120" s="101"/>
      <c r="C120" s="101"/>
      <c r="D120" s="101"/>
      <c r="E120" s="101"/>
      <c r="F120" s="101"/>
      <c r="G120" s="101"/>
      <c r="H120" s="24">
        <f>H100+H110+H114</f>
        <v>0</v>
      </c>
      <c r="I120" s="25">
        <f>I100+I110+I114</f>
        <v>0</v>
      </c>
    </row>
    <row r="121" ht="4.5" customHeight="1"/>
    <row r="122" spans="1:9" ht="11.25">
      <c r="A122" s="92" t="s">
        <v>78</v>
      </c>
      <c r="B122" s="92"/>
      <c r="C122" s="92"/>
      <c r="D122" s="92"/>
      <c r="E122" s="92"/>
      <c r="F122" s="92"/>
      <c r="G122" s="92"/>
      <c r="H122" s="92"/>
      <c r="I122" s="92"/>
    </row>
    <row r="123" spans="1:9" ht="45">
      <c r="A123" s="5" t="s">
        <v>18</v>
      </c>
      <c r="B123" s="126" t="s">
        <v>79</v>
      </c>
      <c r="C123" s="127"/>
      <c r="D123" s="127"/>
      <c r="E123" s="127"/>
      <c r="F123" s="127"/>
      <c r="G123" s="128"/>
      <c r="H123" s="5" t="s">
        <v>20</v>
      </c>
      <c r="I123" s="5" t="s">
        <v>21</v>
      </c>
    </row>
    <row r="124" spans="1:9" ht="15" customHeight="1">
      <c r="A124" s="69">
        <v>1</v>
      </c>
      <c r="B124" s="93" t="s">
        <v>80</v>
      </c>
      <c r="C124" s="94"/>
      <c r="D124" s="94"/>
      <c r="E124" s="94"/>
      <c r="F124" s="94"/>
      <c r="G124" s="95"/>
      <c r="H124" s="6">
        <f>I124/$I$90</f>
        <v>0.006963042313872523</v>
      </c>
      <c r="I124" s="7">
        <f>($D$134/$E$136)*H134</f>
        <v>29.53817154546188</v>
      </c>
    </row>
    <row r="125" spans="1:9" ht="15" customHeight="1">
      <c r="A125" s="69">
        <v>2</v>
      </c>
      <c r="B125" s="93" t="s">
        <v>81</v>
      </c>
      <c r="C125" s="94"/>
      <c r="D125" s="94"/>
      <c r="E125" s="94"/>
      <c r="F125" s="94"/>
      <c r="G125" s="95"/>
      <c r="H125" s="6">
        <f>I125/$I$90</f>
        <v>0.032137118371719335</v>
      </c>
      <c r="I125" s="7">
        <f>($D$134/$E$136)*H135</f>
        <v>136.33002251751637</v>
      </c>
    </row>
    <row r="126" spans="1:9" ht="15" customHeight="1">
      <c r="A126" s="69">
        <v>3</v>
      </c>
      <c r="B126" s="93" t="s">
        <v>11</v>
      </c>
      <c r="C126" s="94"/>
      <c r="D126" s="94"/>
      <c r="E126" s="94"/>
      <c r="F126" s="94"/>
      <c r="G126" s="95"/>
      <c r="H126" s="6">
        <f>I126/$I$90</f>
        <v>0.032137118371719335</v>
      </c>
      <c r="I126" s="7">
        <f>($D$134/$E$136)*H136</f>
        <v>136.33002251751637</v>
      </c>
    </row>
    <row r="127" spans="1:9" ht="15" customHeight="1">
      <c r="A127" s="69">
        <v>4</v>
      </c>
      <c r="B127" s="93" t="s">
        <v>82</v>
      </c>
      <c r="C127" s="94"/>
      <c r="D127" s="94"/>
      <c r="E127" s="94"/>
      <c r="F127" s="94"/>
      <c r="G127" s="95"/>
      <c r="H127" s="6">
        <f>I127/$I$90</f>
        <v>0</v>
      </c>
      <c r="I127" s="7">
        <v>0</v>
      </c>
    </row>
    <row r="128" spans="1:9" ht="15" customHeight="1">
      <c r="A128" s="69">
        <v>5</v>
      </c>
      <c r="B128" s="93" t="s">
        <v>44</v>
      </c>
      <c r="C128" s="94"/>
      <c r="D128" s="94"/>
      <c r="E128" s="94"/>
      <c r="F128" s="94"/>
      <c r="G128" s="95"/>
      <c r="H128" s="6">
        <f>I128/$I$90</f>
        <v>0</v>
      </c>
      <c r="I128" s="7">
        <v>0</v>
      </c>
    </row>
    <row r="129" spans="1:9" ht="15" customHeight="1">
      <c r="A129" s="116" t="s">
        <v>83</v>
      </c>
      <c r="B129" s="117"/>
      <c r="C129" s="117"/>
      <c r="D129" s="117"/>
      <c r="E129" s="117"/>
      <c r="F129" s="117"/>
      <c r="G129" s="118"/>
      <c r="H129" s="9">
        <f>SUM(H124:H128)</f>
        <v>0.0712372790573112</v>
      </c>
      <c r="I129" s="73">
        <f>SUM(I124:I128)</f>
        <v>302.19821658049466</v>
      </c>
    </row>
    <row r="130" spans="1:9" ht="11.25" customHeight="1">
      <c r="A130" s="15" t="s">
        <v>84</v>
      </c>
      <c r="B130" s="119" t="s">
        <v>85</v>
      </c>
      <c r="C130" s="119"/>
      <c r="D130" s="119"/>
      <c r="E130" s="119"/>
      <c r="F130" s="119"/>
      <c r="G130" s="119"/>
      <c r="H130" s="119"/>
      <c r="I130" s="119"/>
    </row>
    <row r="131" spans="1:9" ht="21.75" customHeight="1">
      <c r="A131" s="15" t="s">
        <v>86</v>
      </c>
      <c r="B131" s="120" t="s">
        <v>87</v>
      </c>
      <c r="C131" s="120"/>
      <c r="D131" s="120"/>
      <c r="E131" s="120"/>
      <c r="F131" s="120"/>
      <c r="G131" s="120"/>
      <c r="H131" s="120"/>
      <c r="I131" s="120"/>
    </row>
    <row r="132" spans="1:9" ht="13.5" customHeight="1">
      <c r="A132" s="121" t="s">
        <v>88</v>
      </c>
      <c r="B132" s="121"/>
      <c r="C132" s="121"/>
      <c r="D132" s="121"/>
      <c r="E132" s="121"/>
      <c r="F132" s="121"/>
      <c r="G132" s="121"/>
      <c r="H132" s="121"/>
      <c r="I132" s="121"/>
    </row>
    <row r="133" spans="1:9" ht="13.5" customHeight="1">
      <c r="A133" s="122" t="s">
        <v>89</v>
      </c>
      <c r="B133" s="122"/>
      <c r="C133" s="69" t="s">
        <v>90</v>
      </c>
      <c r="D133" s="123" t="s">
        <v>91</v>
      </c>
      <c r="E133" s="124"/>
      <c r="F133" s="69" t="s">
        <v>92</v>
      </c>
      <c r="G133" s="69" t="s">
        <v>93</v>
      </c>
      <c r="H133" s="125" t="s">
        <v>118</v>
      </c>
      <c r="I133" s="125"/>
    </row>
    <row r="134" spans="1:9" ht="13.5" customHeight="1">
      <c r="A134" s="112">
        <f>I90</f>
        <v>4242.135867336718</v>
      </c>
      <c r="B134" s="113"/>
      <c r="C134" s="7">
        <f>I120</f>
        <v>0</v>
      </c>
      <c r="D134" s="114">
        <f>A134+C134</f>
        <v>4242.135867336718</v>
      </c>
      <c r="E134" s="115"/>
      <c r="F134" s="69" t="s">
        <v>80</v>
      </c>
      <c r="G134" s="23">
        <v>0.0165</v>
      </c>
      <c r="H134" s="105">
        <v>0.0065</v>
      </c>
      <c r="I134" s="105"/>
    </row>
    <row r="135" spans="1:9" ht="13.5" customHeight="1">
      <c r="A135" s="104" t="s">
        <v>159</v>
      </c>
      <c r="B135" s="104"/>
      <c r="C135" s="69">
        <v>1</v>
      </c>
      <c r="D135" s="35">
        <v>0.1175</v>
      </c>
      <c r="E135" s="40">
        <v>0.8825000000000001</v>
      </c>
      <c r="F135" s="69" t="s">
        <v>81</v>
      </c>
      <c r="G135" s="23">
        <v>0.076</v>
      </c>
      <c r="H135" s="105">
        <v>0.03</v>
      </c>
      <c r="I135" s="105"/>
    </row>
    <row r="136" spans="1:9" ht="19.5" customHeight="1">
      <c r="A136" s="104" t="s">
        <v>157</v>
      </c>
      <c r="B136" s="104"/>
      <c r="C136" s="69">
        <v>1</v>
      </c>
      <c r="D136" s="48">
        <f>H138</f>
        <v>0.0665</v>
      </c>
      <c r="E136" s="49">
        <f>C136-D136</f>
        <v>0.9335</v>
      </c>
      <c r="F136" s="69" t="s">
        <v>11</v>
      </c>
      <c r="G136" s="23">
        <f>I10</f>
        <v>0.03</v>
      </c>
      <c r="H136" s="105">
        <f>I10</f>
        <v>0.03</v>
      </c>
      <c r="I136" s="105"/>
    </row>
    <row r="137" spans="1:9" ht="13.5" customHeight="1">
      <c r="A137" s="104" t="s">
        <v>158</v>
      </c>
      <c r="B137" s="104"/>
      <c r="C137" s="69">
        <v>1</v>
      </c>
      <c r="D137" s="64">
        <v>0.09</v>
      </c>
      <c r="E137" s="63">
        <f>C137-D137</f>
        <v>0.91</v>
      </c>
      <c r="F137" s="69" t="s">
        <v>94</v>
      </c>
      <c r="G137" s="23">
        <v>0</v>
      </c>
      <c r="H137" s="105">
        <v>0</v>
      </c>
      <c r="I137" s="105"/>
    </row>
    <row r="138" spans="1:9" ht="19.5" customHeight="1" thickBot="1">
      <c r="A138" s="41" t="s">
        <v>95</v>
      </c>
      <c r="B138" s="106" t="s">
        <v>161</v>
      </c>
      <c r="C138" s="106"/>
      <c r="D138" s="106"/>
      <c r="E138" s="106"/>
      <c r="F138" s="67" t="s">
        <v>96</v>
      </c>
      <c r="G138" s="42">
        <f>SUM(G134:G137)</f>
        <v>0.1225</v>
      </c>
      <c r="H138" s="107">
        <f>SUM(H134:I137)</f>
        <v>0.0665</v>
      </c>
      <c r="I138" s="107"/>
    </row>
    <row r="139" spans="1:9" ht="61.5" customHeight="1" thickBot="1">
      <c r="A139" s="108" t="s">
        <v>119</v>
      </c>
      <c r="B139" s="109"/>
      <c r="C139" s="109"/>
      <c r="D139" s="109"/>
      <c r="E139" s="109"/>
      <c r="F139" s="109"/>
      <c r="G139" s="109"/>
      <c r="H139" s="109"/>
      <c r="I139" s="110"/>
    </row>
    <row r="140" spans="1:9" ht="4.5" customHeight="1">
      <c r="A140" s="36"/>
      <c r="B140" s="111"/>
      <c r="C140" s="111"/>
      <c r="D140" s="111"/>
      <c r="E140" s="111"/>
      <c r="F140" s="111"/>
      <c r="G140" s="111"/>
      <c r="H140" s="111"/>
      <c r="I140" s="111"/>
    </row>
    <row r="141" spans="1:9" ht="15">
      <c r="A141" s="101" t="s">
        <v>97</v>
      </c>
      <c r="B141" s="101"/>
      <c r="C141" s="101"/>
      <c r="D141" s="101"/>
      <c r="E141" s="101"/>
      <c r="F141" s="101"/>
      <c r="G141" s="101"/>
      <c r="H141" s="24">
        <f>H129</f>
        <v>0.0712372790573112</v>
      </c>
      <c r="I141" s="25">
        <f>I129</f>
        <v>302.19821658049466</v>
      </c>
    </row>
    <row r="142" ht="4.5" customHeight="1"/>
    <row r="143" spans="1:9" ht="15">
      <c r="A143" s="102" t="s">
        <v>98</v>
      </c>
      <c r="B143" s="102"/>
      <c r="C143" s="102"/>
      <c r="D143" s="102"/>
      <c r="E143" s="102"/>
      <c r="F143" s="102"/>
      <c r="G143" s="102"/>
      <c r="H143" s="102"/>
      <c r="I143" s="102"/>
    </row>
    <row r="144" spans="1:9" ht="15">
      <c r="A144" s="92" t="s">
        <v>17</v>
      </c>
      <c r="B144" s="92"/>
      <c r="C144" s="92"/>
      <c r="D144" s="92"/>
      <c r="E144" s="92"/>
      <c r="F144" s="92"/>
      <c r="G144" s="92"/>
      <c r="H144" s="92"/>
      <c r="I144" s="92"/>
    </row>
    <row r="145" spans="1:9" ht="15" customHeight="1">
      <c r="A145" s="69">
        <v>1</v>
      </c>
      <c r="B145" s="93" t="s">
        <v>124</v>
      </c>
      <c r="C145" s="94"/>
      <c r="D145" s="94"/>
      <c r="E145" s="94"/>
      <c r="F145" s="94"/>
      <c r="G145" s="95"/>
      <c r="H145" s="6">
        <f>I145/$G$162</f>
        <v>0.4866290715346726</v>
      </c>
      <c r="I145" s="37">
        <f>I37</f>
        <v>2211.405076</v>
      </c>
    </row>
    <row r="146" spans="1:9" ht="15" customHeight="1">
      <c r="A146" s="69">
        <v>2</v>
      </c>
      <c r="B146" s="93" t="s">
        <v>99</v>
      </c>
      <c r="C146" s="94"/>
      <c r="D146" s="94"/>
      <c r="E146" s="94"/>
      <c r="F146" s="94"/>
      <c r="G146" s="95"/>
      <c r="H146" s="6">
        <f>I146/$G$162</f>
        <v>0.3595195162078408</v>
      </c>
      <c r="I146" s="37">
        <f>I49+I61+I68+I72</f>
        <v>1633.7767913367175</v>
      </c>
    </row>
    <row r="147" spans="1:9" ht="15" customHeight="1">
      <c r="A147" s="69">
        <v>3</v>
      </c>
      <c r="B147" s="103" t="s">
        <v>125</v>
      </c>
      <c r="C147" s="103"/>
      <c r="D147" s="103"/>
      <c r="E147" s="103"/>
      <c r="F147" s="103"/>
      <c r="G147" s="103"/>
      <c r="H147" s="6">
        <f>I147/$G$162</f>
        <v>0.08735141225748656</v>
      </c>
      <c r="I147" s="37">
        <f>I80</f>
        <v>396.95399999999995</v>
      </c>
    </row>
    <row r="148" spans="1:16" s="10" customFormat="1" ht="15" customHeight="1">
      <c r="A148" s="96" t="s">
        <v>100</v>
      </c>
      <c r="B148" s="97"/>
      <c r="C148" s="97"/>
      <c r="D148" s="97"/>
      <c r="E148" s="97"/>
      <c r="F148" s="97"/>
      <c r="G148" s="98"/>
      <c r="H148" s="24">
        <f>H145+H146+H147</f>
        <v>0.9335</v>
      </c>
      <c r="I148" s="25">
        <f>I145+I146+I147</f>
        <v>4242.135867336718</v>
      </c>
      <c r="J148"/>
      <c r="K148"/>
      <c r="L148"/>
      <c r="M148"/>
      <c r="N148"/>
      <c r="O148"/>
      <c r="P148"/>
    </row>
    <row r="149" ht="4.5" customHeight="1"/>
    <row r="150" spans="1:9" ht="15">
      <c r="A150" s="92" t="s">
        <v>57</v>
      </c>
      <c r="B150" s="92"/>
      <c r="C150" s="92"/>
      <c r="D150" s="92"/>
      <c r="E150" s="92"/>
      <c r="F150" s="92"/>
      <c r="G150" s="92"/>
      <c r="H150" s="92"/>
      <c r="I150" s="92"/>
    </row>
    <row r="151" spans="1:9" ht="15" customHeight="1">
      <c r="A151" s="69">
        <v>1</v>
      </c>
      <c r="B151" s="93" t="s">
        <v>126</v>
      </c>
      <c r="C151" s="94"/>
      <c r="D151" s="94"/>
      <c r="E151" s="94"/>
      <c r="F151" s="94"/>
      <c r="G151" s="95"/>
      <c r="H151" s="6">
        <f>I151/$G$162</f>
        <v>0</v>
      </c>
      <c r="I151" s="7">
        <f>I100</f>
        <v>0</v>
      </c>
    </row>
    <row r="152" spans="1:9" ht="15" customHeight="1">
      <c r="A152" s="69">
        <v>2</v>
      </c>
      <c r="B152" s="93" t="s">
        <v>127</v>
      </c>
      <c r="C152" s="94"/>
      <c r="D152" s="94"/>
      <c r="E152" s="94"/>
      <c r="F152" s="94"/>
      <c r="G152" s="95"/>
      <c r="H152" s="6">
        <f>I152/$G$162</f>
        <v>0</v>
      </c>
      <c r="I152" s="7">
        <f>I110</f>
        <v>0</v>
      </c>
    </row>
    <row r="153" spans="1:9" ht="15" customHeight="1">
      <c r="A153" s="69">
        <v>3</v>
      </c>
      <c r="B153" s="93" t="s">
        <v>128</v>
      </c>
      <c r="C153" s="94"/>
      <c r="D153" s="94"/>
      <c r="E153" s="94"/>
      <c r="F153" s="94"/>
      <c r="G153" s="95"/>
      <c r="H153" s="6">
        <f>I153/$G$162</f>
        <v>0</v>
      </c>
      <c r="I153" s="7">
        <f>I114</f>
        <v>0</v>
      </c>
    </row>
    <row r="154" spans="1:9" ht="15" customHeight="1">
      <c r="A154" s="96" t="s">
        <v>101</v>
      </c>
      <c r="B154" s="97"/>
      <c r="C154" s="97"/>
      <c r="D154" s="97"/>
      <c r="E154" s="97"/>
      <c r="F154" s="97"/>
      <c r="G154" s="98"/>
      <c r="H154" s="24">
        <f>H151+H152+H153</f>
        <v>0</v>
      </c>
      <c r="I154" s="25">
        <f>I151+I152+I153</f>
        <v>0</v>
      </c>
    </row>
    <row r="155" ht="4.5" customHeight="1"/>
    <row r="156" spans="1:9" ht="15">
      <c r="A156" s="92" t="s">
        <v>78</v>
      </c>
      <c r="B156" s="92"/>
      <c r="C156" s="92"/>
      <c r="D156" s="92"/>
      <c r="E156" s="92"/>
      <c r="F156" s="92"/>
      <c r="G156" s="92"/>
      <c r="H156" s="92"/>
      <c r="I156" s="92"/>
    </row>
    <row r="157" spans="1:9" ht="15" customHeight="1">
      <c r="A157" s="69">
        <v>1</v>
      </c>
      <c r="B157" s="93" t="s">
        <v>129</v>
      </c>
      <c r="C157" s="94"/>
      <c r="D157" s="94"/>
      <c r="E157" s="94"/>
      <c r="F157" s="94"/>
      <c r="G157" s="95"/>
      <c r="H157" s="6">
        <f>I157/$G$162</f>
        <v>0.0665</v>
      </c>
      <c r="I157" s="7">
        <f>I129</f>
        <v>302.19821658049466</v>
      </c>
    </row>
    <row r="158" spans="1:9" ht="15" customHeight="1">
      <c r="A158" s="96" t="s">
        <v>102</v>
      </c>
      <c r="B158" s="97"/>
      <c r="C158" s="97"/>
      <c r="D158" s="97"/>
      <c r="E158" s="97"/>
      <c r="F158" s="97"/>
      <c r="G158" s="98"/>
      <c r="H158" s="24">
        <f>H157</f>
        <v>0.0665</v>
      </c>
      <c r="I158" s="25">
        <f>I129</f>
        <v>302.19821658049466</v>
      </c>
    </row>
    <row r="159" ht="4.5" customHeight="1"/>
    <row r="160" spans="1:9" ht="15">
      <c r="A160" s="99" t="s">
        <v>98</v>
      </c>
      <c r="B160" s="99"/>
      <c r="C160" s="99"/>
      <c r="D160" s="99"/>
      <c r="E160" s="99"/>
      <c r="F160" s="99"/>
      <c r="G160" s="99"/>
      <c r="H160" s="99"/>
      <c r="I160" s="99"/>
    </row>
    <row r="161" spans="1:9" ht="45">
      <c r="A161" s="100" t="s">
        <v>103</v>
      </c>
      <c r="B161" s="100"/>
      <c r="C161" s="100"/>
      <c r="D161" s="100"/>
      <c r="E161" s="100"/>
      <c r="F161" s="100"/>
      <c r="G161" s="74" t="s">
        <v>104</v>
      </c>
      <c r="H161" s="74" t="s">
        <v>105</v>
      </c>
      <c r="I161" s="74" t="s">
        <v>106</v>
      </c>
    </row>
    <row r="162" spans="1:11" ht="15">
      <c r="A162" s="86" t="str">
        <f>G5</f>
        <v>VIGILANTE 12h - CBO 5173</v>
      </c>
      <c r="B162" s="87"/>
      <c r="C162" s="87"/>
      <c r="D162" s="87"/>
      <c r="E162" s="87"/>
      <c r="F162" s="88"/>
      <c r="G162" s="38">
        <f>I148+I154+I158</f>
        <v>4544.334083917212</v>
      </c>
      <c r="H162" s="74">
        <v>2</v>
      </c>
      <c r="I162" s="38">
        <f>G162*H162</f>
        <v>9088.668167834425</v>
      </c>
      <c r="K162" s="43"/>
    </row>
    <row r="163" spans="1:9" ht="15">
      <c r="A163" s="86"/>
      <c r="B163" s="87"/>
      <c r="C163" s="87"/>
      <c r="D163" s="87"/>
      <c r="E163" s="87"/>
      <c r="F163" s="88"/>
      <c r="G163" s="74"/>
      <c r="H163" s="74"/>
      <c r="I163" s="38"/>
    </row>
    <row r="164" spans="1:16" s="10" customFormat="1" ht="15">
      <c r="A164" s="89" t="s">
        <v>152</v>
      </c>
      <c r="B164" s="90"/>
      <c r="C164" s="90"/>
      <c r="D164" s="90"/>
      <c r="E164" s="90"/>
      <c r="F164" s="90"/>
      <c r="G164" s="90"/>
      <c r="H164" s="91"/>
      <c r="I164" s="39">
        <f>I162+I163</f>
        <v>9088.668167834425</v>
      </c>
      <c r="J164"/>
      <c r="K164"/>
      <c r="L164"/>
      <c r="M164"/>
      <c r="N164"/>
      <c r="O164"/>
      <c r="P164"/>
    </row>
  </sheetData>
  <sheetProtection/>
  <mergeCells count="151">
    <mergeCell ref="A1:I1"/>
    <mergeCell ref="A2:B2"/>
    <mergeCell ref="C2:D2"/>
    <mergeCell ref="E2:I2"/>
    <mergeCell ref="A3:B3"/>
    <mergeCell ref="A5:F7"/>
    <mergeCell ref="G5:H5"/>
    <mergeCell ref="G6:G7"/>
    <mergeCell ref="A16:F19"/>
    <mergeCell ref="G16:G19"/>
    <mergeCell ref="A20:F20"/>
    <mergeCell ref="A21:F22"/>
    <mergeCell ref="G21:G22"/>
    <mergeCell ref="K21:P22"/>
    <mergeCell ref="A8:F8"/>
    <mergeCell ref="A9:F9"/>
    <mergeCell ref="A10:F10"/>
    <mergeCell ref="A11:F11"/>
    <mergeCell ref="A12:F15"/>
    <mergeCell ref="G12:G15"/>
    <mergeCell ref="B30:G30"/>
    <mergeCell ref="B31:G31"/>
    <mergeCell ref="B32:G32"/>
    <mergeCell ref="B33:G33"/>
    <mergeCell ref="B34:G34"/>
    <mergeCell ref="A23:F24"/>
    <mergeCell ref="G23:G24"/>
    <mergeCell ref="A25:F25"/>
    <mergeCell ref="A27:I27"/>
    <mergeCell ref="B28:G28"/>
    <mergeCell ref="B29:G29"/>
    <mergeCell ref="B43:G43"/>
    <mergeCell ref="B44:G44"/>
    <mergeCell ref="B45:G45"/>
    <mergeCell ref="B46:G46"/>
    <mergeCell ref="B47:G47"/>
    <mergeCell ref="B48:G48"/>
    <mergeCell ref="B35:G35"/>
    <mergeCell ref="B36:G36"/>
    <mergeCell ref="A37:G37"/>
    <mergeCell ref="B40:G40"/>
    <mergeCell ref="B41:G41"/>
    <mergeCell ref="B42:G42"/>
    <mergeCell ref="B55:G55"/>
    <mergeCell ref="B56:G56"/>
    <mergeCell ref="B57:G57"/>
    <mergeCell ref="B58:G58"/>
    <mergeCell ref="B59:G59"/>
    <mergeCell ref="B60:G60"/>
    <mergeCell ref="A49:G49"/>
    <mergeCell ref="A50:I50"/>
    <mergeCell ref="A51:I51"/>
    <mergeCell ref="B52:G52"/>
    <mergeCell ref="B53:G53"/>
    <mergeCell ref="B54:G54"/>
    <mergeCell ref="B67:G67"/>
    <mergeCell ref="A68:G68"/>
    <mergeCell ref="B70:G70"/>
    <mergeCell ref="B71:G71"/>
    <mergeCell ref="A72:G72"/>
    <mergeCell ref="A74:G74"/>
    <mergeCell ref="A61:G61"/>
    <mergeCell ref="B62:I62"/>
    <mergeCell ref="B63:I63"/>
    <mergeCell ref="B64:G64"/>
    <mergeCell ref="B65:G65"/>
    <mergeCell ref="B66:G66"/>
    <mergeCell ref="A83:B83"/>
    <mergeCell ref="A84:B84"/>
    <mergeCell ref="A86:I86"/>
    <mergeCell ref="A87:B87"/>
    <mergeCell ref="A88:B88"/>
    <mergeCell ref="A90:G90"/>
    <mergeCell ref="B76:G76"/>
    <mergeCell ref="B77:G77"/>
    <mergeCell ref="B78:G78"/>
    <mergeCell ref="B79:G79"/>
    <mergeCell ref="A80:G80"/>
    <mergeCell ref="A82:I82"/>
    <mergeCell ref="B98:G98"/>
    <mergeCell ref="B99:G99"/>
    <mergeCell ref="A100:G100"/>
    <mergeCell ref="B101:I101"/>
    <mergeCell ref="A103:E103"/>
    <mergeCell ref="A104:B104"/>
    <mergeCell ref="A92:I92"/>
    <mergeCell ref="B93:G93"/>
    <mergeCell ref="B94:G94"/>
    <mergeCell ref="B95:G95"/>
    <mergeCell ref="B96:G96"/>
    <mergeCell ref="B97:G97"/>
    <mergeCell ref="B112:G112"/>
    <mergeCell ref="B113:G113"/>
    <mergeCell ref="A114:G114"/>
    <mergeCell ref="A116:E116"/>
    <mergeCell ref="A117:B117"/>
    <mergeCell ref="A118:B118"/>
    <mergeCell ref="A105:B105"/>
    <mergeCell ref="B106:I106"/>
    <mergeCell ref="B107:G107"/>
    <mergeCell ref="B108:G108"/>
    <mergeCell ref="B109:G109"/>
    <mergeCell ref="A110:G110"/>
    <mergeCell ref="B127:G127"/>
    <mergeCell ref="B128:G128"/>
    <mergeCell ref="A129:G129"/>
    <mergeCell ref="B130:I130"/>
    <mergeCell ref="B131:I131"/>
    <mergeCell ref="A132:I132"/>
    <mergeCell ref="A120:G120"/>
    <mergeCell ref="A122:I122"/>
    <mergeCell ref="B123:G123"/>
    <mergeCell ref="B124:G124"/>
    <mergeCell ref="B125:G125"/>
    <mergeCell ref="B126:G126"/>
    <mergeCell ref="A135:B135"/>
    <mergeCell ref="H135:I135"/>
    <mergeCell ref="A136:B136"/>
    <mergeCell ref="H136:I136"/>
    <mergeCell ref="A137:B137"/>
    <mergeCell ref="H137:I137"/>
    <mergeCell ref="A133:B133"/>
    <mergeCell ref="D133:E133"/>
    <mergeCell ref="H133:I133"/>
    <mergeCell ref="A134:B134"/>
    <mergeCell ref="D134:E134"/>
    <mergeCell ref="H134:I134"/>
    <mergeCell ref="A144:I144"/>
    <mergeCell ref="B145:G145"/>
    <mergeCell ref="B146:G146"/>
    <mergeCell ref="B147:G147"/>
    <mergeCell ref="A148:G148"/>
    <mergeCell ref="A150:I150"/>
    <mergeCell ref="B138:E138"/>
    <mergeCell ref="H138:I138"/>
    <mergeCell ref="A139:I139"/>
    <mergeCell ref="B140:I140"/>
    <mergeCell ref="A141:G141"/>
    <mergeCell ref="A143:I143"/>
    <mergeCell ref="A158:G158"/>
    <mergeCell ref="A160:I160"/>
    <mergeCell ref="A161:F161"/>
    <mergeCell ref="A162:F162"/>
    <mergeCell ref="A163:F163"/>
    <mergeCell ref="A164:H164"/>
    <mergeCell ref="B151:G151"/>
    <mergeCell ref="B152:G152"/>
    <mergeCell ref="B153:G153"/>
    <mergeCell ref="A154:G154"/>
    <mergeCell ref="A156:I156"/>
    <mergeCell ref="B157:G157"/>
  </mergeCells>
  <printOptions horizontalCentered="1"/>
  <pageMargins left="0.5118110236220472" right="0.5118110236220472" top="0.7874015748031497" bottom="0.7874015748031497" header="0.31496062992125984" footer="0.31496062992125984"/>
  <pageSetup fitToHeight="3" horizontalDpi="600" verticalDpi="600" orientation="portrait" paperSize="9" scale="68" r:id="rId3"/>
  <rowBreaks count="2" manualBreakCount="2">
    <brk id="63" max="8" man="1"/>
    <brk id="121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2.140625" style="0" customWidth="1"/>
    <col min="2" max="2" width="19.7109375" style="0" customWidth="1"/>
    <col min="3" max="3" width="15.8515625" style="65" customWidth="1"/>
    <col min="4" max="4" width="10.140625" style="0" customWidth="1"/>
    <col min="5" max="5" width="15.140625" style="65" customWidth="1"/>
    <col min="6" max="6" width="10.00390625" style="0" customWidth="1"/>
    <col min="7" max="7" width="9.57421875" style="0" customWidth="1"/>
    <col min="8" max="9" width="9.8515625" style="0" customWidth="1"/>
  </cols>
  <sheetData>
    <row r="2" spans="1:5" ht="15.75">
      <c r="A2" s="174" t="s">
        <v>160</v>
      </c>
      <c r="B2" s="174"/>
      <c r="C2" s="174"/>
      <c r="D2" s="174"/>
      <c r="E2" s="174"/>
    </row>
    <row r="3" spans="1:5" ht="15">
      <c r="A3" s="60" t="s">
        <v>156</v>
      </c>
      <c r="B3" s="60" t="s">
        <v>163</v>
      </c>
      <c r="C3" s="61" t="s">
        <v>177</v>
      </c>
      <c r="D3" s="60" t="s">
        <v>154</v>
      </c>
      <c r="E3" s="61" t="s">
        <v>178</v>
      </c>
    </row>
    <row r="4" spans="1:5" ht="15">
      <c r="A4" s="77" t="s">
        <v>155</v>
      </c>
      <c r="B4" s="82" t="s">
        <v>184</v>
      </c>
      <c r="C4" s="66">
        <f>'12h diurnas'!I157+'12h noturnas'!I164</f>
        <v>17008.617756832387</v>
      </c>
      <c r="D4" s="80">
        <v>2</v>
      </c>
      <c r="E4" s="83">
        <f>C4*D4</f>
        <v>34017.235513664775</v>
      </c>
    </row>
    <row r="5" spans="1:5" ht="15">
      <c r="A5" s="79" t="s">
        <v>96</v>
      </c>
      <c r="B5" s="79" t="s">
        <v>179</v>
      </c>
      <c r="C5" s="79" t="s">
        <v>179</v>
      </c>
      <c r="D5" s="79">
        <f>SUM(D4:D4)</f>
        <v>2</v>
      </c>
      <c r="E5" s="81">
        <f>SUM(E4:E4)</f>
        <v>34017.235513664775</v>
      </c>
    </row>
  </sheetData>
  <sheetProtection/>
  <mergeCells count="1">
    <mergeCell ref="A2:E2"/>
  </mergeCells>
  <printOptions horizontalCentered="1"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Ilete-Kuhn</dc:creator>
  <cp:keywords/>
  <dc:description/>
  <cp:lastModifiedBy>CRISTIANO SILVA DOS REIS</cp:lastModifiedBy>
  <cp:lastPrinted>2018-09-05T19:21:14Z</cp:lastPrinted>
  <dcterms:created xsi:type="dcterms:W3CDTF">2017-06-14T17:49:36Z</dcterms:created>
  <dcterms:modified xsi:type="dcterms:W3CDTF">2018-11-29T12:58:26Z</dcterms:modified>
  <cp:category/>
  <cp:version/>
  <cp:contentType/>
  <cp:contentStatus/>
</cp:coreProperties>
</file>